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6F8E718-751E-4FFD-83B4-1963CE1D5D9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11" i="1"/>
  <c r="F11" i="1"/>
  <c r="Q22" i="1"/>
  <c r="Q23" i="1"/>
  <c r="Q24" i="1"/>
  <c r="C8" i="1"/>
  <c r="C7" i="1"/>
  <c r="E15" i="1"/>
  <c r="C17" i="1"/>
  <c r="R22" i="1"/>
  <c r="Q21" i="1"/>
  <c r="G22" i="1"/>
  <c r="I22" i="1"/>
  <c r="E21" i="1"/>
  <c r="F21" i="1"/>
  <c r="G21" i="1"/>
  <c r="H21" i="1"/>
  <c r="E22" i="1"/>
  <c r="F22" i="1"/>
  <c r="E24" i="1"/>
  <c r="F24" i="1"/>
  <c r="G24" i="1"/>
  <c r="N24" i="1"/>
  <c r="G23" i="1"/>
  <c r="J23" i="1"/>
  <c r="C11" i="1"/>
  <c r="C12" i="1"/>
  <c r="C16" i="1" l="1"/>
  <c r="D18" i="1" s="1"/>
  <c r="O24" i="1"/>
  <c r="C15" i="1"/>
  <c r="E16" i="1" s="1"/>
  <c r="O22" i="1"/>
  <c r="O23" i="1"/>
  <c r="O21" i="1"/>
  <c r="C18" i="1" l="1"/>
  <c r="E17" i="1"/>
</calcChain>
</file>

<file path=xl/sharedStrings.xml><?xml version="1.0" encoding="utf-8"?>
<sst xmlns="http://schemas.openxmlformats.org/spreadsheetml/2006/main" count="50" uniqueCount="45">
  <si>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</si>
  <si>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</si>
  <si>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</si>
  <si>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</si>
  <si>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</si>
  <si>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</si>
  <si>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</si>
  <si>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</si>
  <si>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</si>
  <si>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</si>
  <si>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</si>
  <si>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</si>
  <si>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</si>
  <si>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</si>
  <si>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</si>
  <si>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</si>
  <si>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</si>
  <si>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</si>
  <si>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</si>
  <si>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</si>
  <si>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</si>
  <si>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</si>
  <si>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</si>
  <si>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</si>
  <si>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</si>
  <si>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</si>
  <si>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</si>
  <si>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</si>
  <si>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</si>
  <si>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</si>
  <si>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</si>
  <si>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</si>
  <si>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</si>
  <si>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</si>
  <si>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</si>
  <si>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</si>
  <si>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IT Ara / GSC 8740-0668</t>
  </si>
  <si>
    <t>EB</t>
  </si>
  <si>
    <t>GRAV</t>
  </si>
  <si>
    <t>Malkov</t>
  </si>
  <si>
    <t>OEJV 0048</t>
  </si>
  <si>
    <t>I</t>
  </si>
  <si>
    <t>OEJV</t>
  </si>
  <si>
    <t>Cycle count is very uncertain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</si>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</sst>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/>
    <xf numFmtId="0" fontId="10" fillId="2" borderId="7" xfId="0" applyFont="1" applyFill="1" applyBorder="1" applyAlignment="1"/>
    <xf numFmtId="0" fontId="0" fillId="0" borderId="8" xfId="0" applyBorder="1" applyAlignment="1"/>
    <xf numFmtId="0" fontId="0" fillId="0" borderId="9" xfId="0" applyBorder="1" applyAlignment="1"/>
    <xf numFmtId="0" fontId="10" fillId="2" borderId="1" xfId="0" applyFont="1" applyFill="1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IT Ara - O-C Diagr.</a:t>
            </a:r>
          </a:p>
        </c:rich>
      </c:tx>
      <c:layout>
        <c:manualLayout>
          <c:xMode val="edge"/>
          <c:yMode val="edge"/>
          <c:x val="0.39548872180451128"/>
          <c:y val="3.4920634920634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5238142479360364"/>
          <c:w val="0.82857142857142863"/>
          <c:h val="0.6158749252074814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2906.5</c:v>
                </c:pt>
                <c:pt idx="2">
                  <c:v>52685</c:v>
                </c:pt>
                <c:pt idx="3">
                  <c:v>50494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BB-4A37-930C-9ABD9C3584F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2906.5</c:v>
                </c:pt>
                <c:pt idx="2">
                  <c:v>52685</c:v>
                </c:pt>
                <c:pt idx="3">
                  <c:v>50494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-0.12006750000000466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BB-4A37-930C-9ABD9C3584F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2906.5</c:v>
                </c:pt>
                <c:pt idx="2">
                  <c:v>52685</c:v>
                </c:pt>
                <c:pt idx="3">
                  <c:v>50494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-1.5495749999972759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BB-4A37-930C-9ABD9C3584F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2906.5</c:v>
                </c:pt>
                <c:pt idx="2">
                  <c:v>52685</c:v>
                </c:pt>
                <c:pt idx="3">
                  <c:v>50494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BB-4A37-930C-9ABD9C3584F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2906.5</c:v>
                </c:pt>
                <c:pt idx="2">
                  <c:v>52685</c:v>
                </c:pt>
                <c:pt idx="3">
                  <c:v>50494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BB-4A37-930C-9ABD9C3584F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2906.5</c:v>
                </c:pt>
                <c:pt idx="2">
                  <c:v>52685</c:v>
                </c:pt>
                <c:pt idx="3">
                  <c:v>50494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BB-4A37-930C-9ABD9C3584F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2906.5</c:v>
                </c:pt>
                <c:pt idx="2">
                  <c:v>52685</c:v>
                </c:pt>
                <c:pt idx="3">
                  <c:v>50494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3">
                  <c:v>-1.5411299999977928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BB-4A37-930C-9ABD9C3584F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2906.5</c:v>
                </c:pt>
                <c:pt idx="2">
                  <c:v>52685</c:v>
                </c:pt>
                <c:pt idx="3">
                  <c:v>50494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-1.3465057051671674</c:v>
                </c:pt>
                <c:pt idx="1">
                  <c:v>-1.3577085315014885</c:v>
                </c:pt>
                <c:pt idx="2">
                  <c:v>-1.5495749999972759</c:v>
                </c:pt>
                <c:pt idx="3">
                  <c:v>-1.5411299999977928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BB-4A37-930C-9ABD9C358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522888"/>
        <c:axId val="1"/>
      </c:scatterChart>
      <c:valAx>
        <c:axId val="513522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31748698079406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65080364954380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522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5639097744362"/>
          <c:y val="0.91746331708536433"/>
          <c:w val="0.70827067669172927"/>
          <c:h val="6.34923967837353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17</xdr:row>
      <xdr:rowOff>104775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3E930F6-9C97-3256-3338-EB94214E3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36</v>
      </c>
    </row>
    <row r="2" spans="1:7">
      <c r="A2" t="s">
        <v>24</v>
      </c>
      <c r="B2" t="s">
        <v>37</v>
      </c>
      <c r="C2" s="3"/>
      <c r="D2" s="3"/>
    </row>
    <row r="3" spans="1:7" ht="13.5" thickBot="1">
      <c r="A3" s="26" t="s">
        <v>43</v>
      </c>
    </row>
    <row r="4" spans="1:7" ht="14.25" thickTop="1" thickBot="1">
      <c r="A4" s="5" t="s">
        <v>0</v>
      </c>
      <c r="C4" s="8">
        <v>26091.54</v>
      </c>
      <c r="D4" s="9">
        <v>0.52839499999999995</v>
      </c>
    </row>
    <row r="6" spans="1:7">
      <c r="A6" s="5" t="s">
        <v>1</v>
      </c>
    </row>
    <row r="7" spans="1:7">
      <c r="A7" t="s">
        <v>2</v>
      </c>
      <c r="C7">
        <f>+C4</f>
        <v>26091.54</v>
      </c>
      <c r="D7" t="s">
        <v>12</v>
      </c>
    </row>
    <row r="8" spans="1:7">
      <c r="A8" t="s">
        <v>3</v>
      </c>
      <c r="C8">
        <f>+D4</f>
        <v>0.52839499999999995</v>
      </c>
      <c r="D8" t="s">
        <v>38</v>
      </c>
    </row>
    <row r="9" spans="1:7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16</v>
      </c>
      <c r="B11" s="12"/>
      <c r="C11" s="24">
        <f ca="1">INTERCEPT(INDIRECT($G$11):G992,INDIRECT($F$11):F992)</f>
        <v>-1.3465057051671674</v>
      </c>
      <c r="D11" s="3"/>
      <c r="E11" s="12"/>
      <c r="F11" s="25" t="str">
        <f>"F"&amp;E19</f>
        <v>F23</v>
      </c>
      <c r="G11" s="26" t="str">
        <f>"G"&amp;E19</f>
        <v>G23</v>
      </c>
    </row>
    <row r="12" spans="1:7">
      <c r="A12" s="12" t="s">
        <v>17</v>
      </c>
      <c r="B12" s="12"/>
      <c r="C12" s="24">
        <f ca="1">SLOPE(INDIRECT($G$11):G992,INDIRECT($F$11):F992)</f>
        <v>-3.8544043813250188E-6</v>
      </c>
      <c r="D12" s="3"/>
      <c r="E12" s="12"/>
    </row>
    <row r="13" spans="1:7">
      <c r="A13" s="12" t="s">
        <v>19</v>
      </c>
      <c r="B13" s="12"/>
      <c r="C13" s="3" t="s">
        <v>14</v>
      </c>
      <c r="D13" s="3"/>
      <c r="E13" s="12"/>
    </row>
    <row r="14" spans="1:7">
      <c r="A14" s="12"/>
      <c r="B14" s="12"/>
      <c r="C14" s="12"/>
      <c r="D14" s="12"/>
      <c r="E14" s="12"/>
    </row>
    <row r="15" spans="1:7">
      <c r="A15" s="14" t="s">
        <v>18</v>
      </c>
      <c r="B15" s="12"/>
      <c r="C15" s="15">
        <f ca="1">(C7+C11)+(C8+C12)*INT(MAX(F21:F3533))</f>
        <v>53928.481</v>
      </c>
      <c r="D15" s="16" t="s">
        <v>31</v>
      </c>
      <c r="E15" s="17">
        <f ca="1">TODAY()+15018.5-B9/24</f>
        <v>60320.5</v>
      </c>
    </row>
    <row r="16" spans="1:7">
      <c r="A16" s="18" t="s">
        <v>4</v>
      </c>
      <c r="B16" s="12"/>
      <c r="C16" s="19">
        <f ca="1">+C8+C12</f>
        <v>0.52839114559561862</v>
      </c>
      <c r="D16" s="16" t="s">
        <v>32</v>
      </c>
      <c r="E16" s="17">
        <f ca="1">ROUND(2*(E15-C15)/C16,0)/2+1</f>
        <v>12098</v>
      </c>
    </row>
    <row r="17" spans="1:18" ht="13.5" thickBot="1">
      <c r="A17" s="16" t="s">
        <v>28</v>
      </c>
      <c r="B17" s="12"/>
      <c r="C17" s="12">
        <f>COUNT(C21:C2191)</f>
        <v>4</v>
      </c>
      <c r="D17" s="16" t="s">
        <v>33</v>
      </c>
      <c r="E17" s="20">
        <f ca="1">+C15+C16*E16-15018.5-C9/24</f>
        <v>45302.852912749127</v>
      </c>
    </row>
    <row r="18" spans="1:18" ht="14.25" thickTop="1" thickBot="1">
      <c r="A18" s="18" t="s">
        <v>5</v>
      </c>
      <c r="B18" s="12"/>
      <c r="C18" s="21">
        <f ca="1">+C15</f>
        <v>53928.481</v>
      </c>
      <c r="D18" s="22">
        <f ca="1">+C16</f>
        <v>0.52839114559561862</v>
      </c>
      <c r="E18" s="23" t="s">
        <v>34</v>
      </c>
    </row>
    <row r="19" spans="1:18" ht="13.5" thickTop="1">
      <c r="A19" s="27" t="s">
        <v>35</v>
      </c>
      <c r="E19" s="28">
        <v>23</v>
      </c>
      <c r="F19">
        <v>3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39</v>
      </c>
      <c r="J20" s="7" t="s">
        <v>42</v>
      </c>
      <c r="K20" s="7" t="s">
        <v>44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8">
      <c r="A21" t="s">
        <v>12</v>
      </c>
      <c r="C21" s="10">
        <v>26091.54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-1.3465057051671674</v>
      </c>
      <c r="Q21" s="2">
        <f>+C21-15018.5</f>
        <v>11073.04</v>
      </c>
    </row>
    <row r="22" spans="1:18">
      <c r="A22" t="s">
        <v>39</v>
      </c>
      <c r="C22" s="32">
        <v>27627.200000000001</v>
      </c>
      <c r="D22" s="10"/>
      <c r="E22">
        <f>+(C22-C$7)/C$8</f>
        <v>2906.272769424389</v>
      </c>
      <c r="F22">
        <f>ROUND(2*E22,0)/2</f>
        <v>2906.5</v>
      </c>
      <c r="G22">
        <f>+C22-(C$7+F22*C$8)</f>
        <v>-0.12006750000000466</v>
      </c>
      <c r="I22">
        <f>+G22</f>
        <v>-0.12006750000000466</v>
      </c>
      <c r="O22">
        <f ca="1">+C$11+C$12*$F22</f>
        <v>-1.3577085315014885</v>
      </c>
      <c r="Q22" s="2">
        <f>+C22-15018.5</f>
        <v>12608.7</v>
      </c>
      <c r="R22" t="str">
        <f>IF(ABS(C22-C21)&lt;0.00001,1,"")</f>
        <v/>
      </c>
    </row>
    <row r="23" spans="1:18">
      <c r="A23" s="29" t="s">
        <v>40</v>
      </c>
      <c r="B23" s="30" t="s">
        <v>41</v>
      </c>
      <c r="C23" s="31">
        <v>53928.481</v>
      </c>
      <c r="D23" s="31">
        <v>5.0000000000000001E-3</v>
      </c>
      <c r="E23" s="33">
        <f>+(C23-C$7)/C$8</f>
        <v>52682.067392764882</v>
      </c>
      <c r="F23" s="34">
        <f>ROUND(2*E23,0)/2+F$19</f>
        <v>52685</v>
      </c>
      <c r="G23" s="35">
        <f>+C23-(C$7+F23*C$8)</f>
        <v>-1.5495749999972759</v>
      </c>
      <c r="J23">
        <f>+G23</f>
        <v>-1.5495749999972759</v>
      </c>
      <c r="O23">
        <f ca="1">+C$11+C$12*$F23</f>
        <v>-1.5495749999972759</v>
      </c>
      <c r="Q23" s="2">
        <f>+C23-15018.5</f>
        <v>38909.981</v>
      </c>
    </row>
    <row r="24" spans="1:18">
      <c r="A24" t="s">
        <v>38</v>
      </c>
      <c r="C24" s="10">
        <v>52770.775999999998</v>
      </c>
      <c r="D24" s="10"/>
      <c r="E24" s="36">
        <f>+(C24-C$7)/C$8</f>
        <v>50491.08337512656</v>
      </c>
      <c r="F24" s="37">
        <f>ROUND(2*E24,0)/2+F$19</f>
        <v>50494</v>
      </c>
      <c r="G24" s="38">
        <f>+C24-(C$7+F24*C$8)</f>
        <v>-1.5411299999977928</v>
      </c>
      <c r="N24">
        <f>+G24</f>
        <v>-1.5411299999977928</v>
      </c>
      <c r="O24">
        <f ca="1">+C$11+C$12*$F24</f>
        <v>-1.5411299999977928</v>
      </c>
      <c r="Q24" s="2">
        <f>+C24-15018.5</f>
        <v>37752.275999999998</v>
      </c>
    </row>
    <row r="25" spans="1:18">
      <c r="C25" s="10"/>
      <c r="D25" s="10"/>
      <c r="E25" s="39"/>
      <c r="F25" s="40"/>
      <c r="G25" s="41"/>
      <c r="Q25" s="2"/>
    </row>
    <row r="26" spans="1:18">
      <c r="C26" s="10"/>
      <c r="D26" s="10"/>
      <c r="Q26" s="2"/>
    </row>
    <row r="27" spans="1:18">
      <c r="C27" s="10"/>
      <c r="D27" s="10"/>
      <c r="Q27" s="2"/>
    </row>
    <row r="28" spans="1:18">
      <c r="C28" s="10"/>
      <c r="D28" s="10"/>
      <c r="Q28" s="2"/>
    </row>
    <row r="29" spans="1:18">
      <c r="C29" s="10"/>
      <c r="D29" s="10"/>
      <c r="Q29" s="2"/>
    </row>
    <row r="30" spans="1:18">
      <c r="C30" s="10"/>
      <c r="D30" s="10"/>
      <c r="Q30" s="2"/>
    </row>
    <row r="31" spans="1:18">
      <c r="C31" s="10"/>
      <c r="D31" s="10"/>
      <c r="Q31" s="2"/>
    </row>
    <row r="32" spans="1:18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2024-01-11T06:51:36Z</dcterms:modified>
</cp:coreProperties>
</file>