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4E1FBDD-08B4-40FE-A9DB-7FE17502EDB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E22" i="1"/>
  <c r="F22" i="1"/>
  <c r="G22" i="1"/>
  <c r="I22" i="1"/>
  <c r="Q21" i="1"/>
  <c r="Q23" i="1"/>
  <c r="F11" i="1"/>
  <c r="C7" i="1"/>
  <c r="G21" i="1"/>
  <c r="H21" i="1"/>
  <c r="C8" i="1"/>
  <c r="E14" i="1"/>
  <c r="E15" i="1" s="1"/>
  <c r="G11" i="1"/>
  <c r="C17" i="1"/>
  <c r="Q22" i="1"/>
  <c r="E23" i="1"/>
  <c r="F23" i="1"/>
  <c r="G23" i="1"/>
  <c r="J23" i="1"/>
  <c r="C12" i="1"/>
  <c r="C16" i="1" l="1"/>
  <c r="D18" i="1" s="1"/>
  <c r="C11" i="1"/>
  <c r="O22" i="1" l="1"/>
  <c r="C15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<sst xmlns="http://schemas.openxmlformats.org/spreadsheetml/2006/main" count="49" uniqueCount="47">
  <si>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</si>
  <si>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</si>
  <si>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</si>
  <si>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</si>
  <si>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</si>
  <si>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</si>
  <si>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</si>
  <si>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</si>
  <si>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</si>
  <si>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</si>
  <si>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</si>
  <si>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</si>
  <si>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</si>
  <si>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</si>
  <si>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</si>
  <si>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</si>
  <si>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</si>
  <si>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</si>
  <si>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</si>
  <si>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</si>
  <si>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</si>
  <si>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</si>
  <si>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</si>
  <si>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</si>
  <si>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</si>
  <si>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</si>
  <si>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</si>
  <si>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</si>
  <si>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</si>
  <si>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</si>
  <si>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</si>
  <si>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</si>
  <si>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</si>
  <si>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</si>
  <si>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</si>
  <si>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</si>
  <si>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</si>
  <si>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</si>
  <si>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EA</t>
  </si>
  <si>
    <t>Kreiner</t>
  </si>
  <si>
    <t>J.M. Kreiner, 2004, Acta Astronomica, vol. 54, pp 207-210.</t>
  </si>
  <si>
    <t>OEJV 116</t>
  </si>
  <si>
    <t>I</t>
  </si>
  <si>
    <t>GCVS</t>
  </si>
  <si>
    <t>OEJV</t>
  </si>
  <si>
    <t>CCd</t>
  </si>
  <si>
    <t>V0537 Ara / GSC 8746-2332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</si>
</sst>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172" fontId="15" fillId="0" borderId="0" xfId="0" applyNumberFormat="1" applyFont="1" applyFill="1" applyBorder="1" applyAlignment="1" applyProtection="1">
      <alignment horizontal="left" vertical="top"/>
    </xf>
    <xf numFmtId="0" fontId="0" fillId="0" borderId="1" xfId="0" applyBorder="1" applyAlignment="1"/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V0537 Ara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-192.5</c:v>
                </c:pt>
                <c:pt idx="1">
                  <c:v>0</c:v>
                </c:pt>
                <c:pt idx="2">
                  <c:v>1131.5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-5.8432500009075738E-2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7F-4D69-AC82-5767DE748F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-192.5</c:v>
                </c:pt>
                <c:pt idx="1">
                  <c:v>0</c:v>
                </c:pt>
                <c:pt idx="2">
                  <c:v>1131.5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7F-4D69-AC82-5767DE748F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-192.5</c:v>
                </c:pt>
                <c:pt idx="1">
                  <c:v>0</c:v>
                </c:pt>
                <c:pt idx="2">
                  <c:v>1131.5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-1.9156500005919952E-2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7F-4D69-AC82-5767DE748F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-192.5</c:v>
                </c:pt>
                <c:pt idx="1">
                  <c:v>0</c:v>
                </c:pt>
                <c:pt idx="2">
                  <c:v>1131.5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7F-4D69-AC82-5767DE748F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-192.5</c:v>
                </c:pt>
                <c:pt idx="1">
                  <c:v>0</c:v>
                </c:pt>
                <c:pt idx="2">
                  <c:v>1131.5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7F-4D69-AC82-5767DE748F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-192.5</c:v>
                </c:pt>
                <c:pt idx="1">
                  <c:v>0</c:v>
                </c:pt>
                <c:pt idx="2">
                  <c:v>1131.5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7F-4D69-AC82-5767DE748F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-192.5</c:v>
                </c:pt>
                <c:pt idx="1">
                  <c:v>0</c:v>
                </c:pt>
                <c:pt idx="2">
                  <c:v>1131.5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7F-4D69-AC82-5767DE748F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-192.5</c:v>
                </c:pt>
                <c:pt idx="1">
                  <c:v>0</c:v>
                </c:pt>
                <c:pt idx="2">
                  <c:v>1131.5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-3.2707783936585993E-2</c:v>
                </c:pt>
                <c:pt idx="1">
                  <c:v>-3.0101214387959721E-2</c:v>
                </c:pt>
                <c:pt idx="2">
                  <c:v>-1.4780001690449981E-2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7F-4D69-AC82-5767DE74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897568"/>
        <c:axId val="1"/>
      </c:scatterChart>
      <c:valAx>
        <c:axId val="42889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89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75366568914952"/>
          <c:w val="0.6977443609022556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F1F44C-C549-9331-2314-E341C9E59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42578125" customWidth="1"/>
  </cols>
  <sheetData>
    <row r="1" spans="1:7" ht="20.25" x14ac:dyDescent="0.3">
      <c r="A1" s="1" t="s">
        <v>46</v>
      </c>
    </row>
    <row r="2" spans="1:7" x14ac:dyDescent="0.2">
      <c r="A2" t="s">
        <v>24</v>
      </c>
      <c r="B2" s="29" t="s">
        <v>38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52861.711000000003</v>
      </c>
      <c r="D4" s="9">
        <v>1.8743510000000001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52861.711000000003</v>
      </c>
    </row>
    <row r="8" spans="1:7" x14ac:dyDescent="0.2">
      <c r="A8" t="s">
        <v>3</v>
      </c>
      <c r="C8">
        <f>+D4</f>
        <v>1.8743510000000001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-3.0101214387959721E-2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1.3540621031824781E-5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35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60320.834195370371</v>
      </c>
    </row>
    <row r="15" spans="1:7" x14ac:dyDescent="0.2">
      <c r="A15" s="14" t="s">
        <v>18</v>
      </c>
      <c r="B15" s="12"/>
      <c r="C15" s="15">
        <f ca="1">(C7+C11)+(C8+C12)*INT(MAX(F21:F3533))</f>
        <v>54981.587194227999</v>
      </c>
      <c r="D15" s="16" t="s">
        <v>36</v>
      </c>
      <c r="E15" s="17">
        <f ca="1">ROUND(2*(E14-$C$7)/$C$8,0)/2+E13</f>
        <v>3980.5</v>
      </c>
    </row>
    <row r="16" spans="1:7" x14ac:dyDescent="0.2">
      <c r="A16" s="18" t="s">
        <v>4</v>
      </c>
      <c r="B16" s="12"/>
      <c r="C16" s="19">
        <f ca="1">+C8+C12</f>
        <v>1.8743645406210319</v>
      </c>
      <c r="D16" s="16" t="s">
        <v>37</v>
      </c>
      <c r="E16" s="26">
        <f ca="1">ROUND(2*(E14-$C$15)/$C$16,0)/2+E13</f>
        <v>2849.5</v>
      </c>
    </row>
    <row r="17" spans="1:18" ht="13.5" thickBot="1" x14ac:dyDescent="0.25">
      <c r="A17" s="16" t="s">
        <v>28</v>
      </c>
      <c r="B17" s="12"/>
      <c r="C17" s="12">
        <f>COUNT(C21:C2191)</f>
        <v>3</v>
      </c>
      <c r="D17" s="16" t="s">
        <v>32</v>
      </c>
      <c r="E17" s="20">
        <f ca="1">+$C$15+$C$16*E16-15018.5-$C$9/24</f>
        <v>45304.484786060966</v>
      </c>
    </row>
    <row r="18" spans="1:18" ht="14.25" thickTop="1" thickBot="1" x14ac:dyDescent="0.25">
      <c r="A18" s="18" t="s">
        <v>5</v>
      </c>
      <c r="B18" s="12"/>
      <c r="C18" s="21">
        <f ca="1">+C15</f>
        <v>54981.587194227999</v>
      </c>
      <c r="D18" s="22">
        <f ca="1">+C16</f>
        <v>1.8743645406210319</v>
      </c>
      <c r="E18" s="23" t="s">
        <v>33</v>
      </c>
    </row>
    <row r="19" spans="1:18" ht="13.5" thickTop="1" x14ac:dyDescent="0.2">
      <c r="A19" s="27" t="s">
        <v>34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43</v>
      </c>
      <c r="J20" s="7" t="s">
        <v>44</v>
      </c>
      <c r="K20" s="7" t="s">
        <v>45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s="34" t="s">
        <v>39</v>
      </c>
      <c r="C21" s="10">
        <v>52500.84</v>
      </c>
      <c r="D21" s="10"/>
      <c r="E21">
        <f>+(C21-C$7)/C$8</f>
        <v>-192.53117479063764</v>
      </c>
      <c r="F21">
        <f>ROUND(2*E21,0)/2</f>
        <v>-192.5</v>
      </c>
      <c r="G21">
        <f>+C21-(C$7+F21*C$8)</f>
        <v>-5.8432500009075738E-2</v>
      </c>
      <c r="H21">
        <f>+G21</f>
        <v>-5.8432500009075738E-2</v>
      </c>
      <c r="O21">
        <f ca="1">+C$11+C$12*$F21</f>
        <v>-3.2707783936585993E-2</v>
      </c>
      <c r="Q21" s="2">
        <f>+C21-15018.5</f>
        <v>37482.339999999997</v>
      </c>
      <c r="R21" t="s">
        <v>40</v>
      </c>
    </row>
    <row r="22" spans="1:18" x14ac:dyDescent="0.2">
      <c r="A22" s="33" t="s">
        <v>12</v>
      </c>
      <c r="C22" s="10">
        <v>52861.711000000003</v>
      </c>
      <c r="D22" s="10" t="s">
        <v>14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-3.0101214387959721E-2</v>
      </c>
      <c r="Q22" s="2">
        <f>+C22-15018.5</f>
        <v>37843.211000000003</v>
      </c>
    </row>
    <row r="23" spans="1:18" x14ac:dyDescent="0.2">
      <c r="A23" s="30" t="s">
        <v>41</v>
      </c>
      <c r="B23" s="31" t="s">
        <v>42</v>
      </c>
      <c r="C23" s="32">
        <v>54982.52</v>
      </c>
      <c r="D23" s="32">
        <v>0.01</v>
      </c>
      <c r="E23">
        <f>+(C23-C$7)/C$8</f>
        <v>1131.489779662397</v>
      </c>
      <c r="F23">
        <f>ROUND(2*E23,0)/2</f>
        <v>1131.5</v>
      </c>
      <c r="G23">
        <f>+C23-(C$7+F23*C$8)</f>
        <v>-1.9156500005919952E-2</v>
      </c>
      <c r="J23">
        <f>+G23</f>
        <v>-1.9156500005919952E-2</v>
      </c>
      <c r="O23">
        <f ca="1">+C$11+C$12*$F23</f>
        <v>-1.4780001690449981E-2</v>
      </c>
      <c r="Q23" s="2">
        <f>+C23-15018.5</f>
        <v>39964.019999999997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2024-01-11T07:01:14Z</dcterms:modified>
</cp:coreProperties>
</file>