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490E413-F48F-44B8-8EC4-D12E398AC798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G15" i="1" l="1"/>
  <c r="G16" i="1" s="1"/>
  <c r="S27" i="1"/>
  <c r="S29" i="1"/>
  <c r="S30" i="1"/>
  <c r="S31" i="1"/>
  <c r="S34" i="1"/>
  <c r="S22" i="1"/>
  <c r="R23" i="1"/>
  <c r="R24" i="1"/>
  <c r="R25" i="1"/>
  <c r="R26" i="1"/>
  <c r="R28" i="1"/>
  <c r="R32" i="1"/>
  <c r="R33" i="1"/>
  <c r="R34" i="1"/>
  <c r="Q32" i="1"/>
  <c r="Q33" i="1"/>
  <c r="C17" i="1"/>
  <c r="E22" i="1"/>
  <c r="F22" i="1"/>
  <c r="E27" i="1"/>
  <c r="F27" i="1"/>
  <c r="Q22" i="1"/>
  <c r="Q23" i="1"/>
  <c r="Q24" i="1"/>
  <c r="Q25" i="1"/>
  <c r="Q26" i="1"/>
  <c r="Q27" i="1"/>
  <c r="Q28" i="1"/>
  <c r="Q29" i="1"/>
  <c r="Q30" i="1"/>
  <c r="Q31" i="1"/>
  <c r="C8" i="1"/>
  <c r="C7" i="1"/>
  <c r="E33" i="1"/>
  <c r="F33" i="1"/>
  <c r="Q21" i="1"/>
  <c r="E30" i="1"/>
  <c r="F30" i="1"/>
  <c r="G30" i="1"/>
  <c r="E24" i="1"/>
  <c r="F24" i="1"/>
  <c r="G24" i="1"/>
  <c r="E21" i="1"/>
  <c r="F21" i="1"/>
  <c r="E29" i="1"/>
  <c r="F29" i="1"/>
  <c r="G29" i="1"/>
  <c r="G23" i="1"/>
  <c r="E32" i="1"/>
  <c r="F32" i="1"/>
  <c r="G32" i="1"/>
  <c r="E23" i="1"/>
  <c r="F23" i="1"/>
  <c r="E28" i="1"/>
  <c r="F28" i="1"/>
  <c r="G28" i="1"/>
  <c r="G33" i="1"/>
  <c r="E26" i="1"/>
  <c r="F26" i="1"/>
  <c r="G26" i="1"/>
  <c r="E31" i="1"/>
  <c r="F31" i="1"/>
  <c r="G31" i="1"/>
  <c r="G27" i="1"/>
  <c r="E25" i="1"/>
  <c r="F25" i="1"/>
  <c r="G25" i="1"/>
  <c r="G22" i="1"/>
  <c r="N30" i="1"/>
  <c r="N31" i="1"/>
  <c r="N26" i="1"/>
  <c r="N24" i="1"/>
  <c r="N28" i="1"/>
  <c r="N25" i="1"/>
  <c r="N23" i="1"/>
  <c r="N29" i="1"/>
  <c r="N33" i="1"/>
  <c r="C11" i="1"/>
  <c r="D12" i="1"/>
  <c r="D16" i="1"/>
  <c r="D19" i="1"/>
  <c r="G21" i="1"/>
  <c r="H21" i="1"/>
  <c r="C12" i="1"/>
  <c r="C16" i="1"/>
  <c r="D18" i="1"/>
  <c r="D11" i="1"/>
  <c r="N22" i="1"/>
  <c r="N27" i="1"/>
  <c r="N32" i="1"/>
  <c r="O23" i="1"/>
  <c r="O31" i="1"/>
  <c r="O33" i="1"/>
  <c r="O24" i="1"/>
  <c r="O26" i="1"/>
  <c r="O29" i="1"/>
  <c r="O32" i="1"/>
  <c r="O27" i="1"/>
  <c r="O22" i="1"/>
  <c r="O30" i="1"/>
  <c r="O28" i="1"/>
  <c r="O21" i="1"/>
  <c r="O25" i="1"/>
  <c r="C15" i="1"/>
  <c r="C18" i="1"/>
  <c r="E19" i="1"/>
  <c r="S19" i="1"/>
  <c r="R19" i="1"/>
  <c r="E18" i="1"/>
  <c r="P29" i="1"/>
  <c r="P23" i="1"/>
  <c r="P21" i="1"/>
  <c r="P22" i="1"/>
  <c r="P30" i="1"/>
  <c r="P31" i="1"/>
  <c r="P27" i="1"/>
  <c r="P33" i="1"/>
  <c r="P25" i="1"/>
  <c r="P26" i="1"/>
  <c r="P32" i="1"/>
  <c r="P28" i="1"/>
  <c r="P24" i="1"/>
  <c r="D15" i="1"/>
  <c r="C19" i="1"/>
  <c r="G17" i="1" l="1"/>
  <c r="G18" i="1" s="1"/>
</calcChain>
</file>

<file path=xl/sharedStrings.xml><?xml version="1.0" encoding="utf-8"?>
<sst xmlns="http://schemas.openxmlformats.org/spreadsheetml/2006/main" count="91" uniqueCount="50">
  <si>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</si>
  <si>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</si>
  <si>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</si>
  <si>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</si>
  <si>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</si>
  <si>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</si>
  <si>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</si>
  <si>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</si>
  <si>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</si>
  <si>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</si>
  <si>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</si>
  <si>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</si>
  <si>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</si>
  <si>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</si>
  <si>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</si>
  <si>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</si>
  <si>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</si>
  <si>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</si>
  <si>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</si>
  <si>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</si>
  <si>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Sum diff² =</t>
  </si>
  <si>
    <t>System Type:</t>
  </si>
  <si>
    <t>S4</t>
  </si>
  <si>
    <t>S5</t>
  </si>
  <si>
    <t>Misc</t>
  </si>
  <si>
    <t>phe</t>
  </si>
  <si>
    <t>AsAp 308,151</t>
  </si>
  <si>
    <t>K</t>
  </si>
  <si>
    <t>II</t>
  </si>
  <si>
    <t>Primary</t>
  </si>
  <si>
    <t>Secondary</t>
  </si>
  <si>
    <t>Prim Fit</t>
  </si>
  <si>
    <t>Sec. Fit</t>
  </si>
  <si>
    <t>Eccentric orbit</t>
  </si>
  <si>
    <t>Prim. Ephemeris =</t>
  </si>
  <si>
    <t>Sec. Ephemeris =</t>
  </si>
  <si>
    <t># of data points:</t>
  </si>
  <si>
    <t>EA/DM</t>
  </si>
  <si>
    <t>OEJV 0130</t>
  </si>
  <si>
    <t>I</t>
  </si>
  <si>
    <t>My time zone</t>
  </si>
  <si>
    <t>Remove "0"</t>
  </si>
  <si>
    <t>Add cycle</t>
  </si>
  <si>
    <t>JD today</t>
  </si>
  <si>
    <t>Old Cycle</t>
  </si>
  <si>
    <t>New Cycle</t>
  </si>
  <si>
    <t>Next ToM</t>
  </si>
  <si>
    <t>Local time</t>
  </si>
  <si>
    <t>CCD</t>
  </si>
  <si>
    <t>V0539 Ara / HD161783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</si>
</sst>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0"/>
      <name val="Arial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2" fillId="0" borderId="0" xfId="0" applyFont="1" applyAlignment="1"/>
    <xf numFmtId="0" fontId="5" fillId="0" borderId="9" xfId="0" applyFont="1" applyBorder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4" fontId="13" fillId="0" borderId="0" xfId="0" applyNumberFormat="1" applyFont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Font="1" applyFill="1" applyBorder="1" applyAlignment="1">
      <alignment horizontal="center"/>
    </xf>
    <xf numFmtId="0" fontId="15" fillId="0" borderId="0" xfId="0" applyFont="1">
      <alignment vertical="top"/>
    </xf>
    <xf numFmtId="0" fontId="16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b="0"/>
              <a:t>V0539 Ara - O-C Diagr</a:t>
            </a:r>
            <a:r>
              <a:rPr lang="en-AU"/>
              <a:t>.</a:t>
            </a:r>
          </a:p>
        </c:rich>
      </c:tx>
      <c:layout>
        <c:manualLayout>
          <c:xMode val="edge"/>
          <c:yMode val="edge"/>
          <c:x val="0.38518562957408098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15886466483204"/>
          <c:y val="0.12549043637108681"/>
          <c:w val="0.82963048696933595"/>
          <c:h val="0.6980405523141702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1815.5</c:v>
                </c:pt>
                <c:pt idx="2">
                  <c:v>2043</c:v>
                </c:pt>
                <c:pt idx="3">
                  <c:v>2155</c:v>
                </c:pt>
                <c:pt idx="4">
                  <c:v>2504</c:v>
                </c:pt>
                <c:pt idx="5">
                  <c:v>2746</c:v>
                </c:pt>
                <c:pt idx="6">
                  <c:v>2856.5</c:v>
                </c:pt>
                <c:pt idx="7">
                  <c:v>2859</c:v>
                </c:pt>
                <c:pt idx="8">
                  <c:v>3205.5</c:v>
                </c:pt>
                <c:pt idx="9">
                  <c:v>3227.5</c:v>
                </c:pt>
                <c:pt idx="10">
                  <c:v>3228.5</c:v>
                </c:pt>
                <c:pt idx="11">
                  <c:v>5069</c:v>
                </c:pt>
                <c:pt idx="12">
                  <c:v>5074</c:v>
                </c:pt>
              </c:numCache>
            </c:numRef>
          </c:xVal>
          <c:yVal>
            <c:numRef>
              <c:f>'Active 1'!$H$21:$H$993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7A-455C-9A74-EA3A73A0FEF0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1">
                    <c:v>8.9999999999999993E-3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1">
                    <c:v>8.9999999999999993E-3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1815.5</c:v>
                </c:pt>
                <c:pt idx="2">
                  <c:v>2043</c:v>
                </c:pt>
                <c:pt idx="3">
                  <c:v>2155</c:v>
                </c:pt>
                <c:pt idx="4">
                  <c:v>2504</c:v>
                </c:pt>
                <c:pt idx="5">
                  <c:v>2746</c:v>
                </c:pt>
                <c:pt idx="6">
                  <c:v>2856.5</c:v>
                </c:pt>
                <c:pt idx="7">
                  <c:v>2859</c:v>
                </c:pt>
                <c:pt idx="8">
                  <c:v>3205.5</c:v>
                </c:pt>
                <c:pt idx="9">
                  <c:v>3227.5</c:v>
                </c:pt>
                <c:pt idx="10">
                  <c:v>3228.5</c:v>
                </c:pt>
                <c:pt idx="11">
                  <c:v>5069</c:v>
                </c:pt>
                <c:pt idx="12">
                  <c:v>5074</c:v>
                </c:pt>
              </c:numCache>
            </c:numRef>
          </c:xVal>
          <c:yVal>
            <c:numRef>
              <c:f>'Active 1'!$I$21:$I$993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7A-455C-9A74-EA3A73A0FEF0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1">
                    <c:v>8.9999999999999993E-3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1">
                    <c:v>8.9999999999999993E-3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1815.5</c:v>
                </c:pt>
                <c:pt idx="2">
                  <c:v>2043</c:v>
                </c:pt>
                <c:pt idx="3">
                  <c:v>2155</c:v>
                </c:pt>
                <c:pt idx="4">
                  <c:v>2504</c:v>
                </c:pt>
                <c:pt idx="5">
                  <c:v>2746</c:v>
                </c:pt>
                <c:pt idx="6">
                  <c:v>2856.5</c:v>
                </c:pt>
                <c:pt idx="7">
                  <c:v>2859</c:v>
                </c:pt>
                <c:pt idx="8">
                  <c:v>3205.5</c:v>
                </c:pt>
                <c:pt idx="9">
                  <c:v>3227.5</c:v>
                </c:pt>
                <c:pt idx="10">
                  <c:v>3228.5</c:v>
                </c:pt>
                <c:pt idx="11">
                  <c:v>5069</c:v>
                </c:pt>
                <c:pt idx="12">
                  <c:v>5074</c:v>
                </c:pt>
              </c:numCache>
            </c:numRef>
          </c:xVal>
          <c:yVal>
            <c:numRef>
              <c:f>'Active 1'!$J$21:$J$993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7A-455C-9A74-EA3A73A0FEF0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1">
                    <c:v>8.9999999999999993E-3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1">
                    <c:v>8.9999999999999993E-3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1815.5</c:v>
                </c:pt>
                <c:pt idx="2">
                  <c:v>2043</c:v>
                </c:pt>
                <c:pt idx="3">
                  <c:v>2155</c:v>
                </c:pt>
                <c:pt idx="4">
                  <c:v>2504</c:v>
                </c:pt>
                <c:pt idx="5">
                  <c:v>2746</c:v>
                </c:pt>
                <c:pt idx="6">
                  <c:v>2856.5</c:v>
                </c:pt>
                <c:pt idx="7">
                  <c:v>2859</c:v>
                </c:pt>
                <c:pt idx="8">
                  <c:v>3205.5</c:v>
                </c:pt>
                <c:pt idx="9">
                  <c:v>3227.5</c:v>
                </c:pt>
                <c:pt idx="10">
                  <c:v>3228.5</c:v>
                </c:pt>
                <c:pt idx="11">
                  <c:v>5069</c:v>
                </c:pt>
                <c:pt idx="12">
                  <c:v>5074</c:v>
                </c:pt>
              </c:numCache>
            </c:numRef>
          </c:xVal>
          <c:yVal>
            <c:numRef>
              <c:f>'Active 1'!$K$21:$K$993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7A-455C-9A74-EA3A73A0FEF0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1">
                    <c:v>8.9999999999999993E-3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1">
                    <c:v>8.9999999999999993E-3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1815.5</c:v>
                </c:pt>
                <c:pt idx="2">
                  <c:v>2043</c:v>
                </c:pt>
                <c:pt idx="3">
                  <c:v>2155</c:v>
                </c:pt>
                <c:pt idx="4">
                  <c:v>2504</c:v>
                </c:pt>
                <c:pt idx="5">
                  <c:v>2746</c:v>
                </c:pt>
                <c:pt idx="6">
                  <c:v>2856.5</c:v>
                </c:pt>
                <c:pt idx="7">
                  <c:v>2859</c:v>
                </c:pt>
                <c:pt idx="8">
                  <c:v>3205.5</c:v>
                </c:pt>
                <c:pt idx="9">
                  <c:v>3227.5</c:v>
                </c:pt>
                <c:pt idx="10">
                  <c:v>3228.5</c:v>
                </c:pt>
                <c:pt idx="11">
                  <c:v>5069</c:v>
                </c:pt>
                <c:pt idx="12">
                  <c:v>5074</c:v>
                </c:pt>
              </c:numCache>
            </c:numRef>
          </c:xVal>
          <c:yVal>
            <c:numRef>
              <c:f>'Active 1'!$L$21:$L$993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7A-455C-9A74-EA3A73A0FEF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1">
                    <c:v>8.9999999999999993E-3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1">
                    <c:v>8.9999999999999993E-3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1815.5</c:v>
                </c:pt>
                <c:pt idx="2">
                  <c:v>2043</c:v>
                </c:pt>
                <c:pt idx="3">
                  <c:v>2155</c:v>
                </c:pt>
                <c:pt idx="4">
                  <c:v>2504</c:v>
                </c:pt>
                <c:pt idx="5">
                  <c:v>2746</c:v>
                </c:pt>
                <c:pt idx="6">
                  <c:v>2856.5</c:v>
                </c:pt>
                <c:pt idx="7">
                  <c:v>2859</c:v>
                </c:pt>
                <c:pt idx="8">
                  <c:v>3205.5</c:v>
                </c:pt>
                <c:pt idx="9">
                  <c:v>3227.5</c:v>
                </c:pt>
                <c:pt idx="10">
                  <c:v>3228.5</c:v>
                </c:pt>
                <c:pt idx="11">
                  <c:v>5069</c:v>
                </c:pt>
                <c:pt idx="12">
                  <c:v>5074</c:v>
                </c:pt>
              </c:numCache>
            </c:numRef>
          </c:xVal>
          <c:yVal>
            <c:numRef>
              <c:f>'Active 1'!$M$21:$M$993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7A-455C-9A74-EA3A73A0FEF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1">
                    <c:v>8.9999999999999993E-3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1">
                    <c:v>8.9999999999999993E-3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1815.5</c:v>
                </c:pt>
                <c:pt idx="2">
                  <c:v>2043</c:v>
                </c:pt>
                <c:pt idx="3">
                  <c:v>2155</c:v>
                </c:pt>
                <c:pt idx="4">
                  <c:v>2504</c:v>
                </c:pt>
                <c:pt idx="5">
                  <c:v>2746</c:v>
                </c:pt>
                <c:pt idx="6">
                  <c:v>2856.5</c:v>
                </c:pt>
                <c:pt idx="7">
                  <c:v>2859</c:v>
                </c:pt>
                <c:pt idx="8">
                  <c:v>3205.5</c:v>
                </c:pt>
                <c:pt idx="9">
                  <c:v>3227.5</c:v>
                </c:pt>
                <c:pt idx="10">
                  <c:v>3228.5</c:v>
                </c:pt>
                <c:pt idx="11">
                  <c:v>5069</c:v>
                </c:pt>
                <c:pt idx="12">
                  <c:v>5074</c:v>
                </c:pt>
              </c:numCache>
            </c:numRef>
          </c:xVal>
          <c:yVal>
            <c:numRef>
              <c:f>'Active 1'!$N$21:$N$993</c:f>
              <c:numCache>
                <c:formatCode>General</c:formatCode>
                <c:ptCount val="973"/>
                <c:pt idx="1">
                  <c:v>-6.3183999998727813E-2</c:v>
                </c:pt>
                <c:pt idx="2">
                  <c:v>-1.730400000087684E-2</c:v>
                </c:pt>
                <c:pt idx="3">
                  <c:v>-2.2039999996195547E-2</c:v>
                </c:pt>
                <c:pt idx="4">
                  <c:v>-3.7311999993107747E-2</c:v>
                </c:pt>
                <c:pt idx="5">
                  <c:v>-5.0488000000768807E-2</c:v>
                </c:pt>
                <c:pt idx="6">
                  <c:v>-0.14273200000025099</c:v>
                </c:pt>
                <c:pt idx="7">
                  <c:v>-5.7051999996474478E-2</c:v>
                </c:pt>
                <c:pt idx="8">
                  <c:v>-0.16810399999667425</c:v>
                </c:pt>
                <c:pt idx="9">
                  <c:v>-0.16961999999330146</c:v>
                </c:pt>
                <c:pt idx="10">
                  <c:v>-0.16804799999954412</c:v>
                </c:pt>
                <c:pt idx="11">
                  <c:v>-0.16283199999452336</c:v>
                </c:pt>
                <c:pt idx="12">
                  <c:v>-0.16347199999290751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7A-455C-9A74-EA3A73A0FEF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1815.5</c:v>
                </c:pt>
                <c:pt idx="2">
                  <c:v>2043</c:v>
                </c:pt>
                <c:pt idx="3">
                  <c:v>2155</c:v>
                </c:pt>
                <c:pt idx="4">
                  <c:v>2504</c:v>
                </c:pt>
                <c:pt idx="5">
                  <c:v>2746</c:v>
                </c:pt>
                <c:pt idx="6">
                  <c:v>2856.5</c:v>
                </c:pt>
                <c:pt idx="7">
                  <c:v>2859</c:v>
                </c:pt>
                <c:pt idx="8">
                  <c:v>3205.5</c:v>
                </c:pt>
                <c:pt idx="9">
                  <c:v>3227.5</c:v>
                </c:pt>
                <c:pt idx="10">
                  <c:v>3228.5</c:v>
                </c:pt>
                <c:pt idx="11">
                  <c:v>5069</c:v>
                </c:pt>
                <c:pt idx="12">
                  <c:v>5074</c:v>
                </c:pt>
              </c:numCache>
            </c:numRef>
          </c:xVal>
          <c:yVal>
            <c:numRef>
              <c:f>'Active 1'!$O$21:$O$993</c:f>
              <c:numCache>
                <c:formatCode>General</c:formatCode>
                <c:ptCount val="973"/>
                <c:pt idx="0">
                  <c:v>8.2270297341750009E-2</c:v>
                </c:pt>
                <c:pt idx="1">
                  <c:v>-5.584705942079729E-3</c:v>
                </c:pt>
                <c:pt idx="2">
                  <c:v>-1.6593801644129449E-2</c:v>
                </c:pt>
                <c:pt idx="3">
                  <c:v>-2.2013664143600079E-2</c:v>
                </c:pt>
                <c:pt idx="4">
                  <c:v>-3.8902342824986252E-2</c:v>
                </c:pt>
                <c:pt idx="5">
                  <c:v>-5.0613117154199583E-2</c:v>
                </c:pt>
                <c:pt idx="6">
                  <c:v>-5.5960392209480875E-2</c:v>
                </c:pt>
                <c:pt idx="7">
                  <c:v>-5.6081371283129761E-2</c:v>
                </c:pt>
                <c:pt idx="8">
                  <c:v>-7.2849070890867035E-2</c:v>
                </c:pt>
                <c:pt idx="9">
                  <c:v>-7.391368673897733E-2</c:v>
                </c:pt>
                <c:pt idx="10">
                  <c:v>-7.3962078368436907E-2</c:v>
                </c:pt>
                <c:pt idx="11">
                  <c:v>-0.16302687238875563</c:v>
                </c:pt>
                <c:pt idx="12">
                  <c:v>-0.1632688305360534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7A-455C-9A74-EA3A73A0FEF0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1815.5</c:v>
                </c:pt>
                <c:pt idx="2">
                  <c:v>2043</c:v>
                </c:pt>
                <c:pt idx="3">
                  <c:v>2155</c:v>
                </c:pt>
                <c:pt idx="4">
                  <c:v>2504</c:v>
                </c:pt>
                <c:pt idx="5">
                  <c:v>2746</c:v>
                </c:pt>
                <c:pt idx="6">
                  <c:v>2856.5</c:v>
                </c:pt>
                <c:pt idx="7">
                  <c:v>2859</c:v>
                </c:pt>
                <c:pt idx="8">
                  <c:v>3205.5</c:v>
                </c:pt>
                <c:pt idx="9">
                  <c:v>3227.5</c:v>
                </c:pt>
                <c:pt idx="10">
                  <c:v>3228.5</c:v>
                </c:pt>
                <c:pt idx="11">
                  <c:v>5069</c:v>
                </c:pt>
                <c:pt idx="12">
                  <c:v>5074</c:v>
                </c:pt>
              </c:numCache>
            </c:numRef>
          </c:xVal>
          <c:yVal>
            <c:numRef>
              <c:f>'Active 1'!$P$21:$P$993</c:f>
              <c:numCache>
                <c:formatCode>General</c:formatCode>
                <c:ptCount val="973"/>
                <c:pt idx="0">
                  <c:v>7.2671482046026109E-2</c:v>
                </c:pt>
                <c:pt idx="1">
                  <c:v>-6.3495186405637588E-2</c:v>
                </c:pt>
                <c:pt idx="2">
                  <c:v>-8.0558208753615274E-2</c:v>
                </c:pt>
                <c:pt idx="3">
                  <c:v>-8.8958465909542733E-2</c:v>
                </c:pt>
                <c:pt idx="4">
                  <c:v>-0.11513426722578105</c:v>
                </c:pt>
                <c:pt idx="5">
                  <c:v>-0.13328482286626719</c:v>
                </c:pt>
                <c:pt idx="6">
                  <c:v>-0.14157257657814207</c:v>
                </c:pt>
                <c:pt idx="7">
                  <c:v>-0.14176008231822973</c:v>
                </c:pt>
                <c:pt idx="8">
                  <c:v>-0.16774837789438035</c:v>
                </c:pt>
                <c:pt idx="9">
                  <c:v>-0.16939842840715183</c:v>
                </c:pt>
                <c:pt idx="10">
                  <c:v>-0.16947343070318691</c:v>
                </c:pt>
                <c:pt idx="11">
                  <c:v>-0.30751515655572725</c:v>
                </c:pt>
                <c:pt idx="12">
                  <c:v>-0.30789016803590263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7A-455C-9A74-EA3A73A0F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147504"/>
        <c:axId val="1"/>
      </c:scatterChart>
      <c:valAx>
        <c:axId val="428147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0"/>
                  <a:t>Cycle</a:t>
                </a:r>
              </a:p>
            </c:rich>
          </c:tx>
          <c:layout>
            <c:manualLayout>
              <c:xMode val="edge"/>
              <c:yMode val="edge"/>
              <c:x val="0.52275187823744251"/>
              <c:y val="0.886276156656888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b="0"/>
                  <a:t>O-C  (days)</a:t>
                </a:r>
              </a:p>
            </c:rich>
          </c:tx>
          <c:layout>
            <c:manualLayout>
              <c:xMode val="edge"/>
              <c:yMode val="edge"/>
              <c:x val="3.0687830687830688E-2"/>
              <c:y val="0.368628068550254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147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936541265675124"/>
          <c:y val="0.94902146055272507"/>
          <c:w val="0.54391589940146368"/>
          <c:h val="3.92156862745097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V539 Ara - Primary O-C Diagr.</a:t>
            </a:r>
          </a:p>
        </c:rich>
      </c:tx>
      <c:layout>
        <c:manualLayout>
          <c:xMode val="edge"/>
          <c:yMode val="edge"/>
          <c:x val="0.2659793814432989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9587628865979"/>
          <c:y val="0.14723926380368099"/>
          <c:w val="0.76907216494845365"/>
          <c:h val="0.62883435582822089"/>
        </c:manualLayout>
      </c:layout>
      <c:scatterChart>
        <c:scatterStyle val="lineMarker"/>
        <c:varyColors val="0"/>
        <c:ser>
          <c:idx val="1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1">
                    <c:v>8.9999999999999993E-3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1">
                    <c:v>8.9999999999999993E-3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1815.5</c:v>
                </c:pt>
                <c:pt idx="2">
                  <c:v>2043</c:v>
                </c:pt>
                <c:pt idx="3">
                  <c:v>2155</c:v>
                </c:pt>
                <c:pt idx="4">
                  <c:v>2504</c:v>
                </c:pt>
                <c:pt idx="5">
                  <c:v>2746</c:v>
                </c:pt>
                <c:pt idx="6">
                  <c:v>2856.5</c:v>
                </c:pt>
                <c:pt idx="7">
                  <c:v>2859</c:v>
                </c:pt>
                <c:pt idx="8">
                  <c:v>3205.5</c:v>
                </c:pt>
                <c:pt idx="9">
                  <c:v>3227.5</c:v>
                </c:pt>
                <c:pt idx="10">
                  <c:v>3228.5</c:v>
                </c:pt>
                <c:pt idx="11">
                  <c:v>5069</c:v>
                </c:pt>
                <c:pt idx="12">
                  <c:v>5074</c:v>
                </c:pt>
              </c:numCache>
            </c:numRef>
          </c:xVal>
          <c:yVal>
            <c:numRef>
              <c:f>'Active 1'!$R$21:$R$993</c:f>
              <c:numCache>
                <c:formatCode>General</c:formatCode>
                <c:ptCount val="973"/>
                <c:pt idx="2">
                  <c:v>-1.730400000087684E-2</c:v>
                </c:pt>
                <c:pt idx="3">
                  <c:v>-2.2039999996195547E-2</c:v>
                </c:pt>
                <c:pt idx="4">
                  <c:v>-3.7311999993107747E-2</c:v>
                </c:pt>
                <c:pt idx="5">
                  <c:v>-5.0488000000768807E-2</c:v>
                </c:pt>
                <c:pt idx="7">
                  <c:v>-5.7051999996474478E-2</c:v>
                </c:pt>
                <c:pt idx="11">
                  <c:v>-0.16283199999452336</c:v>
                </c:pt>
                <c:pt idx="12">
                  <c:v>-0.16347199999290751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07-4AB8-8D33-8C0B17068071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1815.5</c:v>
                </c:pt>
                <c:pt idx="2">
                  <c:v>2043</c:v>
                </c:pt>
                <c:pt idx="3">
                  <c:v>2155</c:v>
                </c:pt>
                <c:pt idx="4">
                  <c:v>2504</c:v>
                </c:pt>
                <c:pt idx="5">
                  <c:v>2746</c:v>
                </c:pt>
                <c:pt idx="6">
                  <c:v>2856.5</c:v>
                </c:pt>
                <c:pt idx="7">
                  <c:v>2859</c:v>
                </c:pt>
                <c:pt idx="8">
                  <c:v>3205.5</c:v>
                </c:pt>
                <c:pt idx="9">
                  <c:v>3227.5</c:v>
                </c:pt>
                <c:pt idx="10">
                  <c:v>3228.5</c:v>
                </c:pt>
                <c:pt idx="11">
                  <c:v>5069</c:v>
                </c:pt>
                <c:pt idx="12">
                  <c:v>5074</c:v>
                </c:pt>
              </c:numCache>
            </c:numRef>
          </c:xVal>
          <c:yVal>
            <c:numRef>
              <c:f>'Active 1'!$O$21:$O$993</c:f>
              <c:numCache>
                <c:formatCode>General</c:formatCode>
                <c:ptCount val="973"/>
                <c:pt idx="0">
                  <c:v>8.2270297341750009E-2</c:v>
                </c:pt>
                <c:pt idx="1">
                  <c:v>-5.584705942079729E-3</c:v>
                </c:pt>
                <c:pt idx="2">
                  <c:v>-1.6593801644129449E-2</c:v>
                </c:pt>
                <c:pt idx="3">
                  <c:v>-2.2013664143600079E-2</c:v>
                </c:pt>
                <c:pt idx="4">
                  <c:v>-3.8902342824986252E-2</c:v>
                </c:pt>
                <c:pt idx="5">
                  <c:v>-5.0613117154199583E-2</c:v>
                </c:pt>
                <c:pt idx="6">
                  <c:v>-5.5960392209480875E-2</c:v>
                </c:pt>
                <c:pt idx="7">
                  <c:v>-5.6081371283129761E-2</c:v>
                </c:pt>
                <c:pt idx="8">
                  <c:v>-7.2849070890867035E-2</c:v>
                </c:pt>
                <c:pt idx="9">
                  <c:v>-7.391368673897733E-2</c:v>
                </c:pt>
                <c:pt idx="10">
                  <c:v>-7.3962078368436907E-2</c:v>
                </c:pt>
                <c:pt idx="11">
                  <c:v>-0.16302687238875563</c:v>
                </c:pt>
                <c:pt idx="12">
                  <c:v>-0.1632688305360534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07-4AB8-8D33-8C0B17068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544960"/>
        <c:axId val="1"/>
      </c:scatterChart>
      <c:valAx>
        <c:axId val="675544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3505154639176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5544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649484536082476"/>
          <c:y val="0.92024539877300615"/>
          <c:w val="0.2948453608247422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V539 Ara - Secondary O-C Diagr.</a:t>
            </a:r>
          </a:p>
        </c:rich>
      </c:tx>
      <c:layout>
        <c:manualLayout>
          <c:xMode val="edge"/>
          <c:yMode val="edge"/>
          <c:x val="0.2407411727855005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85347514283"/>
          <c:y val="0.14678942920199375"/>
          <c:w val="0.76954887142504069"/>
          <c:h val="0.62997130032522319"/>
        </c:manualLayout>
      </c:layout>
      <c:scatterChart>
        <c:scatterStyle val="lineMarker"/>
        <c:varyColors val="0"/>
        <c:ser>
          <c:idx val="1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1">
                    <c:v>8.9999999999999993E-3</c:v>
                  </c:pt>
                  <c:pt idx="12">
                    <c:v>8.0000000000000002E-3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1">
                    <c:v>8.9999999999999993E-3</c:v>
                  </c:pt>
                  <c:pt idx="1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1815.5</c:v>
                </c:pt>
                <c:pt idx="2">
                  <c:v>2043</c:v>
                </c:pt>
                <c:pt idx="3">
                  <c:v>2155</c:v>
                </c:pt>
                <c:pt idx="4">
                  <c:v>2504</c:v>
                </c:pt>
                <c:pt idx="5">
                  <c:v>2746</c:v>
                </c:pt>
                <c:pt idx="6">
                  <c:v>2856.5</c:v>
                </c:pt>
                <c:pt idx="7">
                  <c:v>2859</c:v>
                </c:pt>
                <c:pt idx="8">
                  <c:v>3205.5</c:v>
                </c:pt>
                <c:pt idx="9">
                  <c:v>3227.5</c:v>
                </c:pt>
                <c:pt idx="10">
                  <c:v>3228.5</c:v>
                </c:pt>
                <c:pt idx="11">
                  <c:v>5069</c:v>
                </c:pt>
                <c:pt idx="12">
                  <c:v>5074</c:v>
                </c:pt>
              </c:numCache>
            </c:numRef>
          </c:xVal>
          <c:yVal>
            <c:numRef>
              <c:f>'Active 1'!$S$21:$S$993</c:f>
              <c:numCache>
                <c:formatCode>General</c:formatCode>
                <c:ptCount val="973"/>
                <c:pt idx="1">
                  <c:v>-6.3183999998727813E-2</c:v>
                </c:pt>
                <c:pt idx="6">
                  <c:v>-0.14273200000025099</c:v>
                </c:pt>
                <c:pt idx="8">
                  <c:v>-0.16810399999667425</c:v>
                </c:pt>
                <c:pt idx="9">
                  <c:v>-0.16961999999330146</c:v>
                </c:pt>
                <c:pt idx="10">
                  <c:v>-0.16804799999954412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E1-4FDE-9EF4-510118485793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1815.5</c:v>
                </c:pt>
                <c:pt idx="2">
                  <c:v>2043</c:v>
                </c:pt>
                <c:pt idx="3">
                  <c:v>2155</c:v>
                </c:pt>
                <c:pt idx="4">
                  <c:v>2504</c:v>
                </c:pt>
                <c:pt idx="5">
                  <c:v>2746</c:v>
                </c:pt>
                <c:pt idx="6">
                  <c:v>2856.5</c:v>
                </c:pt>
                <c:pt idx="7">
                  <c:v>2859</c:v>
                </c:pt>
                <c:pt idx="8">
                  <c:v>3205.5</c:v>
                </c:pt>
                <c:pt idx="9">
                  <c:v>3227.5</c:v>
                </c:pt>
                <c:pt idx="10">
                  <c:v>3228.5</c:v>
                </c:pt>
                <c:pt idx="11">
                  <c:v>5069</c:v>
                </c:pt>
                <c:pt idx="12">
                  <c:v>5074</c:v>
                </c:pt>
              </c:numCache>
            </c:numRef>
          </c:xVal>
          <c:yVal>
            <c:numRef>
              <c:f>'Active 1'!$P$21:$P$993</c:f>
              <c:numCache>
                <c:formatCode>General</c:formatCode>
                <c:ptCount val="973"/>
                <c:pt idx="0">
                  <c:v>7.2671482046026109E-2</c:v>
                </c:pt>
                <c:pt idx="1">
                  <c:v>-6.3495186405637588E-2</c:v>
                </c:pt>
                <c:pt idx="2">
                  <c:v>-8.0558208753615274E-2</c:v>
                </c:pt>
                <c:pt idx="3">
                  <c:v>-8.8958465909542733E-2</c:v>
                </c:pt>
                <c:pt idx="4">
                  <c:v>-0.11513426722578105</c:v>
                </c:pt>
                <c:pt idx="5">
                  <c:v>-0.13328482286626719</c:v>
                </c:pt>
                <c:pt idx="6">
                  <c:v>-0.14157257657814207</c:v>
                </c:pt>
                <c:pt idx="7">
                  <c:v>-0.14176008231822973</c:v>
                </c:pt>
                <c:pt idx="8">
                  <c:v>-0.16774837789438035</c:v>
                </c:pt>
                <c:pt idx="9">
                  <c:v>-0.16939842840715183</c:v>
                </c:pt>
                <c:pt idx="10">
                  <c:v>-0.16947343070318691</c:v>
                </c:pt>
                <c:pt idx="11">
                  <c:v>-0.30751515655572725</c:v>
                </c:pt>
                <c:pt idx="12">
                  <c:v>-0.30789016803590263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E1-4FDE-9EF4-510118485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42696"/>
        <c:axId val="1"/>
      </c:scatterChart>
      <c:valAx>
        <c:axId val="519142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80766447403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613384746659752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142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712020565330564"/>
          <c:y val="0.9204921861831491"/>
          <c:w val="0.3333339814004731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22</xdr:col>
      <xdr:colOff>561975</xdr:colOff>
      <xdr:row>18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83ACA4-49A3-C21D-1300-DDB2018585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114300</xdr:rowOff>
    </xdr:from>
    <xdr:to>
      <xdr:col>11</xdr:col>
      <xdr:colOff>200025</xdr:colOff>
      <xdr:row>19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4483BD-977C-734C-EB92-8D803524C6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295274</xdr:colOff>
      <xdr:row>20</xdr:row>
      <xdr:rowOff>9525</xdr:rowOff>
    </xdr:from>
    <xdr:to>
      <xdr:col>11</xdr:col>
      <xdr:colOff>161925</xdr:colOff>
      <xdr:row>39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6AB5D49-F024-DDA0-5471-3199B8D527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workbookViewId="0">
      <selection activeCell="G7" sqref="G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16.28515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</row>
    <row r="2" spans="1:7" x14ac:dyDescent="0.2">
      <c r="A2" t="s">
        <v>21</v>
      </c>
      <c r="B2" s="18" t="s">
        <v>37</v>
      </c>
    </row>
    <row r="3" spans="1:7" ht="13.5" thickBot="1" x14ac:dyDescent="0.25">
      <c r="C3" s="10" t="s">
        <v>33</v>
      </c>
    </row>
    <row r="4" spans="1:7" ht="14.25" thickTop="1" thickBot="1" x14ac:dyDescent="0.25">
      <c r="A4" s="7" t="s">
        <v>0</v>
      </c>
      <c r="C4" s="2">
        <v>39314.341999999997</v>
      </c>
      <c r="D4" s="3">
        <v>3.1691280000000002</v>
      </c>
    </row>
    <row r="5" spans="1:7" x14ac:dyDescent="0.2">
      <c r="A5" t="s">
        <v>40</v>
      </c>
      <c r="C5" s="25">
        <v>-9.5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39314.341999999997</v>
      </c>
    </row>
    <row r="8" spans="1:7" x14ac:dyDescent="0.2">
      <c r="A8" t="s">
        <v>3</v>
      </c>
      <c r="C8">
        <f>+D4</f>
        <v>3.1691280000000002</v>
      </c>
    </row>
    <row r="10" spans="1:7" ht="13.5" thickBot="1" x14ac:dyDescent="0.25">
      <c r="C10" s="6" t="s">
        <v>29</v>
      </c>
      <c r="D10" s="6" t="s">
        <v>30</v>
      </c>
    </row>
    <row r="11" spans="1:7" x14ac:dyDescent="0.2">
      <c r="A11" t="s">
        <v>15</v>
      </c>
      <c r="C11">
        <f>INTERCEPT(R21:R993,$F21:$F993)</f>
        <v>8.2270297341750009E-2</v>
      </c>
      <c r="D11">
        <f>INTERCEPT(S21:S993,$F21:$F993)</f>
        <v>7.2671482046026109E-2</v>
      </c>
    </row>
    <row r="12" spans="1:7" x14ac:dyDescent="0.2">
      <c r="A12" t="s">
        <v>16</v>
      </c>
      <c r="C12">
        <f>SLOPE(R21:R993,$F21:$F993)</f>
        <v>-4.8391629459559208E-5</v>
      </c>
      <c r="D12">
        <f>SLOPE(S21:S993,$F21:$F993)</f>
        <v>-7.5002296035066752E-5</v>
      </c>
    </row>
    <row r="13" spans="1:7" x14ac:dyDescent="0.2">
      <c r="C13" s="5"/>
      <c r="D13" s="5"/>
    </row>
    <row r="14" spans="1:7" x14ac:dyDescent="0.2">
      <c r="A14" t="s">
        <v>20</v>
      </c>
      <c r="F14" s="27" t="s">
        <v>42</v>
      </c>
      <c r="G14" s="28">
        <v>1</v>
      </c>
    </row>
    <row r="15" spans="1:7" x14ac:dyDescent="0.2">
      <c r="A15" s="4" t="s">
        <v>17</v>
      </c>
      <c r="C15" s="11">
        <f>($C7+C11)+($C8+C12)*INT(MAX($F21:$F3460))</f>
        <v>55394.334203169456</v>
      </c>
      <c r="D15" s="11">
        <f>($C7+D11)+($C8+D12)*(INT(MAX($F21:$F3460))+0.5)</f>
        <v>55395.774108330814</v>
      </c>
      <c r="F15" s="27" t="s">
        <v>43</v>
      </c>
      <c r="G15" s="29">
        <f ca="1">NOW()+15018.5+$C$5/24</f>
        <v>60320.836605092591</v>
      </c>
    </row>
    <row r="16" spans="1:7" x14ac:dyDescent="0.2">
      <c r="A16" s="7" t="s">
        <v>4</v>
      </c>
      <c r="C16" s="12">
        <f>+$C8+C12</f>
        <v>3.1690796083705406</v>
      </c>
      <c r="D16" s="12">
        <f>+$C8+D12</f>
        <v>3.169052997703965</v>
      </c>
      <c r="F16" s="27" t="s">
        <v>44</v>
      </c>
      <c r="G16" s="30">
        <f ca="1">ROUND(2*(G15-$C$7)/$C$8,0)/2+G14</f>
        <v>6629.5</v>
      </c>
    </row>
    <row r="17" spans="1:29" ht="13.5" thickBot="1" x14ac:dyDescent="0.25">
      <c r="A17" s="17" t="s">
        <v>36</v>
      </c>
      <c r="C17">
        <f>COUNT(C21:C2191)</f>
        <v>13</v>
      </c>
      <c r="F17" s="27" t="s">
        <v>45</v>
      </c>
      <c r="G17" s="31">
        <f ca="1">ROUND(2*(G15-$C$15)/$C$16,0)/2+G14</f>
        <v>1555.5</v>
      </c>
    </row>
    <row r="18" spans="1:29" ht="14.25" thickTop="1" thickBot="1" x14ac:dyDescent="0.25">
      <c r="A18" s="7" t="s">
        <v>34</v>
      </c>
      <c r="C18" s="13">
        <f>+C15</f>
        <v>55394.334203169456</v>
      </c>
      <c r="D18" s="14">
        <f>+C16</f>
        <v>3.1690796083705406</v>
      </c>
      <c r="E18">
        <f>COUNT(R21:R37)</f>
        <v>7</v>
      </c>
      <c r="F18" s="27" t="s">
        <v>46</v>
      </c>
      <c r="G18" s="32">
        <f ca="1">+$C$15+$C$16*G17-15018.5-$C$5/24</f>
        <v>45305.73336732317</v>
      </c>
    </row>
    <row r="19" spans="1:29" ht="13.5" thickBot="1" x14ac:dyDescent="0.25">
      <c r="A19" s="7" t="s">
        <v>35</v>
      </c>
      <c r="C19" s="15">
        <f>D15</f>
        <v>55395.774108330814</v>
      </c>
      <c r="D19" s="16">
        <f>D16</f>
        <v>3.169052997703965</v>
      </c>
      <c r="E19">
        <f>COUNT(S21:S41)</f>
        <v>6</v>
      </c>
      <c r="G19" s="19" t="s">
        <v>47</v>
      </c>
      <c r="R19">
        <f>COUNT(R21:R31)</f>
        <v>5</v>
      </c>
      <c r="S19">
        <f>COUNT(S21:S31)</f>
        <v>5</v>
      </c>
    </row>
    <row r="20" spans="1:29" ht="13.5" thickBot="1" x14ac:dyDescent="0.25">
      <c r="A20" s="6" t="s">
        <v>5</v>
      </c>
      <c r="B20" s="6" t="s">
        <v>6</v>
      </c>
      <c r="C20" s="6" t="s">
        <v>7</v>
      </c>
      <c r="D20" s="6" t="s">
        <v>12</v>
      </c>
      <c r="E20" s="6" t="s">
        <v>8</v>
      </c>
      <c r="F20" s="6" t="s">
        <v>9</v>
      </c>
      <c r="G20" s="6" t="s">
        <v>10</v>
      </c>
      <c r="H20" s="9" t="s">
        <v>11</v>
      </c>
      <c r="I20" s="9" t="s">
        <v>48</v>
      </c>
      <c r="J20" s="9" t="s">
        <v>18</v>
      </c>
      <c r="K20" s="9" t="s">
        <v>19</v>
      </c>
      <c r="L20" s="9" t="s">
        <v>22</v>
      </c>
      <c r="M20" s="9" t="s">
        <v>23</v>
      </c>
      <c r="N20" s="9" t="s">
        <v>24</v>
      </c>
      <c r="O20" s="9" t="s">
        <v>31</v>
      </c>
      <c r="P20" s="8" t="s">
        <v>32</v>
      </c>
      <c r="Q20" s="6" t="s">
        <v>14</v>
      </c>
      <c r="R20" s="6" t="s">
        <v>29</v>
      </c>
      <c r="S20" s="6" t="s">
        <v>30</v>
      </c>
      <c r="T20" s="26" t="s">
        <v>41</v>
      </c>
    </row>
    <row r="21" spans="1:29" x14ac:dyDescent="0.2">
      <c r="A21" s="19" t="s">
        <v>11</v>
      </c>
      <c r="B21" s="19"/>
      <c r="C21" s="19">
        <v>39314.341999999997</v>
      </c>
      <c r="D21" s="20" t="s">
        <v>13</v>
      </c>
      <c r="E21" s="19">
        <f>+(C21-C$7)/C$8</f>
        <v>0</v>
      </c>
      <c r="F21" s="19">
        <f>ROUND(2*E21,0)/2</f>
        <v>0</v>
      </c>
      <c r="G21" s="19">
        <f>+C21-(C$7+F21*C$8)</f>
        <v>0</v>
      </c>
      <c r="H21" s="19">
        <f>+G21</f>
        <v>0</v>
      </c>
      <c r="I21" s="19"/>
      <c r="J21" s="19"/>
      <c r="K21" s="19"/>
      <c r="L21" s="19"/>
      <c r="M21" s="19"/>
      <c r="N21" s="19"/>
      <c r="O21" s="19">
        <f>+C$11+C$12*$F21</f>
        <v>8.2270297341750009E-2</v>
      </c>
      <c r="P21" s="19">
        <f>+D$11+D$12*$F21</f>
        <v>7.2671482046026109E-2</v>
      </c>
      <c r="Q21" s="21">
        <f>+C21-15018.5</f>
        <v>24295.841999999997</v>
      </c>
      <c r="R21" s="19"/>
      <c r="S21" s="19"/>
      <c r="T21" s="19"/>
      <c r="U21" s="19"/>
    </row>
    <row r="22" spans="1:29" x14ac:dyDescent="0.2">
      <c r="A22" s="19" t="s">
        <v>26</v>
      </c>
      <c r="B22" s="20" t="s">
        <v>28</v>
      </c>
      <c r="C22" s="19">
        <v>45067.830699999999</v>
      </c>
      <c r="D22" s="20"/>
      <c r="E22" s="19">
        <f t="shared" ref="E22:E31" si="0">+(C22-C$7)/C$8</f>
        <v>1815.4800626544593</v>
      </c>
      <c r="F22" s="19">
        <f t="shared" ref="F22:F33" si="1">ROUND(2*E22,0)/2</f>
        <v>1815.5</v>
      </c>
      <c r="G22" s="19">
        <f t="shared" ref="G22:G31" si="2">+C22-(C$7+F22*C$8)</f>
        <v>-6.3183999998727813E-2</v>
      </c>
      <c r="H22" s="19"/>
      <c r="I22" s="19"/>
      <c r="J22" s="19"/>
      <c r="K22" s="19"/>
      <c r="L22" s="19"/>
      <c r="M22" s="19"/>
      <c r="N22" s="19">
        <f t="shared" ref="N22:N31" si="3">+G22</f>
        <v>-6.3183999998727813E-2</v>
      </c>
      <c r="O22" s="19">
        <f t="shared" ref="O22:O31" si="4">+C$11+C$12*$F22</f>
        <v>-5.584705942079729E-3</v>
      </c>
      <c r="P22" s="19">
        <f t="shared" ref="P22:P31" si="5">+D$11+D$12*$F22</f>
        <v>-6.3495186405637588E-2</v>
      </c>
      <c r="Q22" s="21">
        <f t="shared" ref="Q22:Q31" si="6">+C22-15018.5</f>
        <v>30049.330699999999</v>
      </c>
      <c r="R22" s="19"/>
      <c r="S22" s="19">
        <f>IF(B22="II",G22,)</f>
        <v>-6.3183999998727813E-2</v>
      </c>
      <c r="T22" s="19"/>
      <c r="U22" s="19"/>
      <c r="AA22" t="s">
        <v>25</v>
      </c>
      <c r="AC22" t="s">
        <v>27</v>
      </c>
    </row>
    <row r="23" spans="1:29" x14ac:dyDescent="0.2">
      <c r="A23" s="19" t="s">
        <v>26</v>
      </c>
      <c r="B23" s="20" t="s">
        <v>39</v>
      </c>
      <c r="C23" s="19">
        <v>45788.853199999998</v>
      </c>
      <c r="D23" s="20"/>
      <c r="E23" s="19">
        <f t="shared" si="0"/>
        <v>2042.994539822942</v>
      </c>
      <c r="F23" s="19">
        <f t="shared" si="1"/>
        <v>2043</v>
      </c>
      <c r="G23" s="19">
        <f t="shared" si="2"/>
        <v>-1.730400000087684E-2</v>
      </c>
      <c r="H23" s="19"/>
      <c r="I23" s="19"/>
      <c r="J23" s="19"/>
      <c r="K23" s="19"/>
      <c r="L23" s="19"/>
      <c r="M23" s="19"/>
      <c r="N23" s="19">
        <f t="shared" si="3"/>
        <v>-1.730400000087684E-2</v>
      </c>
      <c r="O23" s="19">
        <f t="shared" si="4"/>
        <v>-1.6593801644129449E-2</v>
      </c>
      <c r="P23" s="19">
        <f t="shared" si="5"/>
        <v>-8.0558208753615274E-2</v>
      </c>
      <c r="Q23" s="21">
        <f t="shared" si="6"/>
        <v>30770.353199999998</v>
      </c>
      <c r="R23" s="19">
        <f t="shared" ref="R23:R34" si="7">IF(B23="I",G23," ")</f>
        <v>-1.730400000087684E-2</v>
      </c>
      <c r="S23" s="19"/>
      <c r="T23" s="19"/>
      <c r="U23" s="19"/>
      <c r="AA23" t="s">
        <v>25</v>
      </c>
      <c r="AC23" t="s">
        <v>27</v>
      </c>
    </row>
    <row r="24" spans="1:29" x14ac:dyDescent="0.2">
      <c r="A24" s="19" t="s">
        <v>26</v>
      </c>
      <c r="B24" s="20" t="s">
        <v>39</v>
      </c>
      <c r="C24" s="19">
        <v>46143.790800000002</v>
      </c>
      <c r="D24" s="20"/>
      <c r="E24" s="19">
        <f t="shared" si="0"/>
        <v>2154.9930454055516</v>
      </c>
      <c r="F24" s="19">
        <f t="shared" si="1"/>
        <v>2155</v>
      </c>
      <c r="G24" s="19">
        <f t="shared" si="2"/>
        <v>-2.2039999996195547E-2</v>
      </c>
      <c r="H24" s="19"/>
      <c r="I24" s="19"/>
      <c r="J24" s="19"/>
      <c r="K24" s="19"/>
      <c r="L24" s="19"/>
      <c r="M24" s="19"/>
      <c r="N24" s="19">
        <f t="shared" si="3"/>
        <v>-2.2039999996195547E-2</v>
      </c>
      <c r="O24" s="19">
        <f t="shared" si="4"/>
        <v>-2.2013664143600079E-2</v>
      </c>
      <c r="P24" s="19">
        <f t="shared" si="5"/>
        <v>-8.8958465909542733E-2</v>
      </c>
      <c r="Q24" s="21">
        <f t="shared" si="6"/>
        <v>31125.290800000002</v>
      </c>
      <c r="R24" s="19">
        <f t="shared" si="7"/>
        <v>-2.2039999996195547E-2</v>
      </c>
      <c r="S24" s="19"/>
      <c r="T24" s="19"/>
      <c r="U24" s="19"/>
      <c r="AA24" t="s">
        <v>25</v>
      </c>
      <c r="AC24" t="s">
        <v>27</v>
      </c>
    </row>
    <row r="25" spans="1:29" x14ac:dyDescent="0.2">
      <c r="A25" s="19" t="s">
        <v>26</v>
      </c>
      <c r="B25" s="20" t="s">
        <v>39</v>
      </c>
      <c r="C25" s="19">
        <v>47249.801200000002</v>
      </c>
      <c r="D25" s="20"/>
      <c r="E25" s="19">
        <f t="shared" si="0"/>
        <v>2503.9882264143334</v>
      </c>
      <c r="F25" s="19">
        <f t="shared" si="1"/>
        <v>2504</v>
      </c>
      <c r="G25" s="19">
        <f t="shared" si="2"/>
        <v>-3.7311999993107747E-2</v>
      </c>
      <c r="H25" s="19"/>
      <c r="I25" s="19"/>
      <c r="J25" s="19"/>
      <c r="K25" s="19"/>
      <c r="L25" s="19"/>
      <c r="M25" s="19"/>
      <c r="N25" s="19">
        <f t="shared" si="3"/>
        <v>-3.7311999993107747E-2</v>
      </c>
      <c r="O25" s="19">
        <f t="shared" si="4"/>
        <v>-3.8902342824986252E-2</v>
      </c>
      <c r="P25" s="19">
        <f t="shared" si="5"/>
        <v>-0.11513426722578105</v>
      </c>
      <c r="Q25" s="21">
        <f t="shared" si="6"/>
        <v>32231.301200000002</v>
      </c>
      <c r="R25" s="19">
        <f t="shared" si="7"/>
        <v>-3.7311999993107747E-2</v>
      </c>
      <c r="S25" s="19"/>
      <c r="T25" s="19"/>
      <c r="U25" s="19"/>
      <c r="AA25" t="s">
        <v>25</v>
      </c>
      <c r="AC25" t="s">
        <v>27</v>
      </c>
    </row>
    <row r="26" spans="1:29" x14ac:dyDescent="0.2">
      <c r="A26" s="19" t="s">
        <v>26</v>
      </c>
      <c r="B26" s="20" t="s">
        <v>39</v>
      </c>
      <c r="C26" s="19">
        <v>48016.716999999997</v>
      </c>
      <c r="D26" s="20"/>
      <c r="E26" s="19">
        <f t="shared" si="0"/>
        <v>2745.9840688037843</v>
      </c>
      <c r="F26" s="19">
        <f t="shared" si="1"/>
        <v>2746</v>
      </c>
      <c r="G26" s="19">
        <f t="shared" si="2"/>
        <v>-5.0488000000768807E-2</v>
      </c>
      <c r="H26" s="19"/>
      <c r="I26" s="19"/>
      <c r="J26" s="19"/>
      <c r="K26" s="19"/>
      <c r="L26" s="19"/>
      <c r="M26" s="19"/>
      <c r="N26" s="19">
        <f t="shared" si="3"/>
        <v>-5.0488000000768807E-2</v>
      </c>
      <c r="O26" s="19">
        <f t="shared" si="4"/>
        <v>-5.0613117154199583E-2</v>
      </c>
      <c r="P26" s="19">
        <f t="shared" si="5"/>
        <v>-0.13328482286626719</v>
      </c>
      <c r="Q26" s="21">
        <f t="shared" si="6"/>
        <v>32998.216999999997</v>
      </c>
      <c r="R26" s="19">
        <f t="shared" si="7"/>
        <v>-5.0488000000768807E-2</v>
      </c>
      <c r="S26" s="19"/>
      <c r="T26" s="19"/>
      <c r="U26" s="19"/>
      <c r="AA26" t="s">
        <v>25</v>
      </c>
      <c r="AC26" t="s">
        <v>27</v>
      </c>
    </row>
    <row r="27" spans="1:29" x14ac:dyDescent="0.2">
      <c r="A27" s="19" t="s">
        <v>26</v>
      </c>
      <c r="B27" s="20" t="s">
        <v>28</v>
      </c>
      <c r="C27" s="19">
        <v>48366.813399999999</v>
      </c>
      <c r="D27" s="20"/>
      <c r="E27" s="19">
        <f t="shared" si="0"/>
        <v>2856.45496174342</v>
      </c>
      <c r="F27" s="19">
        <f t="shared" si="1"/>
        <v>2856.5</v>
      </c>
      <c r="G27" s="19">
        <f t="shared" si="2"/>
        <v>-0.14273200000025099</v>
      </c>
      <c r="H27" s="19"/>
      <c r="I27" s="19"/>
      <c r="J27" s="19"/>
      <c r="K27" s="19"/>
      <c r="L27" s="19"/>
      <c r="M27" s="19"/>
      <c r="N27" s="19">
        <f t="shared" si="3"/>
        <v>-0.14273200000025099</v>
      </c>
      <c r="O27" s="19">
        <f t="shared" si="4"/>
        <v>-5.5960392209480875E-2</v>
      </c>
      <c r="P27" s="19">
        <f t="shared" si="5"/>
        <v>-0.14157257657814207</v>
      </c>
      <c r="Q27" s="21">
        <f t="shared" si="6"/>
        <v>33348.313399999999</v>
      </c>
      <c r="R27" s="19"/>
      <c r="S27" s="19">
        <f>IF(B27="II",G27,)</f>
        <v>-0.14273200000025099</v>
      </c>
      <c r="T27" s="19"/>
      <c r="U27" s="19"/>
      <c r="AA27" t="s">
        <v>25</v>
      </c>
      <c r="AC27" t="s">
        <v>27</v>
      </c>
    </row>
    <row r="28" spans="1:29" x14ac:dyDescent="0.2">
      <c r="A28" s="19" t="s">
        <v>26</v>
      </c>
      <c r="B28" s="20" t="s">
        <v>39</v>
      </c>
      <c r="C28" s="19">
        <v>48374.821900000003</v>
      </c>
      <c r="D28" s="20"/>
      <c r="E28" s="19">
        <f t="shared" si="0"/>
        <v>2858.9819975715732</v>
      </c>
      <c r="F28" s="19">
        <f t="shared" si="1"/>
        <v>2859</v>
      </c>
      <c r="G28" s="19">
        <f t="shared" si="2"/>
        <v>-5.7051999996474478E-2</v>
      </c>
      <c r="H28" s="19"/>
      <c r="I28" s="19"/>
      <c r="J28" s="19"/>
      <c r="K28" s="19"/>
      <c r="L28" s="19"/>
      <c r="M28" s="19"/>
      <c r="N28" s="19">
        <f t="shared" si="3"/>
        <v>-5.7051999996474478E-2</v>
      </c>
      <c r="O28" s="19">
        <f t="shared" si="4"/>
        <v>-5.6081371283129761E-2</v>
      </c>
      <c r="P28" s="19">
        <f t="shared" si="5"/>
        <v>-0.14176008231822973</v>
      </c>
      <c r="Q28" s="21">
        <f t="shared" si="6"/>
        <v>33356.321900000003</v>
      </c>
      <c r="R28" s="19">
        <f t="shared" si="7"/>
        <v>-5.7051999996474478E-2</v>
      </c>
      <c r="S28" s="19"/>
      <c r="T28" s="19"/>
      <c r="U28" s="19"/>
      <c r="AA28" t="s">
        <v>25</v>
      </c>
      <c r="AC28" t="s">
        <v>27</v>
      </c>
    </row>
    <row r="29" spans="1:29" x14ac:dyDescent="0.2">
      <c r="A29" s="19" t="s">
        <v>26</v>
      </c>
      <c r="B29" s="20" t="s">
        <v>28</v>
      </c>
      <c r="C29" s="19">
        <v>49472.813699999999</v>
      </c>
      <c r="D29" s="20"/>
      <c r="E29" s="19">
        <f t="shared" si="0"/>
        <v>3205.4469557556531</v>
      </c>
      <c r="F29" s="19">
        <f t="shared" si="1"/>
        <v>3205.5</v>
      </c>
      <c r="G29" s="19">
        <f t="shared" si="2"/>
        <v>-0.16810399999667425</v>
      </c>
      <c r="H29" s="19"/>
      <c r="I29" s="19"/>
      <c r="J29" s="19"/>
      <c r="K29" s="19"/>
      <c r="L29" s="19"/>
      <c r="M29" s="19"/>
      <c r="N29" s="19">
        <f t="shared" si="3"/>
        <v>-0.16810399999667425</v>
      </c>
      <c r="O29" s="19">
        <f t="shared" si="4"/>
        <v>-7.2849070890867035E-2</v>
      </c>
      <c r="P29" s="19">
        <f t="shared" si="5"/>
        <v>-0.16774837789438035</v>
      </c>
      <c r="Q29" s="21">
        <f t="shared" si="6"/>
        <v>34454.313699999999</v>
      </c>
      <c r="R29" s="19"/>
      <c r="S29" s="19">
        <f>IF(B29="II",G29,)</f>
        <v>-0.16810399999667425</v>
      </c>
      <c r="T29" s="19"/>
      <c r="U29" s="19"/>
      <c r="AA29" t="s">
        <v>25</v>
      </c>
      <c r="AC29" t="s">
        <v>27</v>
      </c>
    </row>
    <row r="30" spans="1:29" x14ac:dyDescent="0.2">
      <c r="A30" s="19" t="s">
        <v>26</v>
      </c>
      <c r="B30" s="20" t="s">
        <v>28</v>
      </c>
      <c r="C30" s="19">
        <v>49542.533000000003</v>
      </c>
      <c r="D30" s="20"/>
      <c r="E30" s="19">
        <f t="shared" si="0"/>
        <v>3227.4464773906279</v>
      </c>
      <c r="F30" s="19">
        <f t="shared" si="1"/>
        <v>3227.5</v>
      </c>
      <c r="G30" s="19">
        <f t="shared" si="2"/>
        <v>-0.16961999999330146</v>
      </c>
      <c r="H30" s="19"/>
      <c r="I30" s="19"/>
      <c r="J30" s="19"/>
      <c r="K30" s="19"/>
      <c r="L30" s="19"/>
      <c r="M30" s="19"/>
      <c r="N30" s="19">
        <f t="shared" si="3"/>
        <v>-0.16961999999330146</v>
      </c>
      <c r="O30" s="19">
        <f t="shared" si="4"/>
        <v>-7.391368673897733E-2</v>
      </c>
      <c r="P30" s="19">
        <f t="shared" si="5"/>
        <v>-0.16939842840715183</v>
      </c>
      <c r="Q30" s="21">
        <f t="shared" si="6"/>
        <v>34524.033000000003</v>
      </c>
      <c r="R30" s="19"/>
      <c r="S30" s="19">
        <f>IF(B30="II",G30,)</f>
        <v>-0.16961999999330146</v>
      </c>
      <c r="T30" s="19"/>
      <c r="U30" s="19"/>
      <c r="AA30" t="s">
        <v>25</v>
      </c>
      <c r="AC30" t="s">
        <v>27</v>
      </c>
    </row>
    <row r="31" spans="1:29" x14ac:dyDescent="0.2">
      <c r="A31" s="19" t="s">
        <v>26</v>
      </c>
      <c r="B31" s="20" t="s">
        <v>28</v>
      </c>
      <c r="C31" s="19">
        <v>49545.703699999998</v>
      </c>
      <c r="D31" s="20"/>
      <c r="E31" s="19">
        <f t="shared" si="0"/>
        <v>3228.4469734261288</v>
      </c>
      <c r="F31" s="19">
        <f t="shared" si="1"/>
        <v>3228.5</v>
      </c>
      <c r="G31" s="19">
        <f t="shared" si="2"/>
        <v>-0.16804799999954412</v>
      </c>
      <c r="H31" s="19"/>
      <c r="I31" s="19"/>
      <c r="J31" s="19"/>
      <c r="K31" s="19"/>
      <c r="L31" s="19"/>
      <c r="M31" s="19"/>
      <c r="N31" s="19">
        <f t="shared" si="3"/>
        <v>-0.16804799999954412</v>
      </c>
      <c r="O31" s="19">
        <f t="shared" si="4"/>
        <v>-7.3962078368436907E-2</v>
      </c>
      <c r="P31" s="19">
        <f t="shared" si="5"/>
        <v>-0.16947343070318691</v>
      </c>
      <c r="Q31" s="21">
        <f t="shared" si="6"/>
        <v>34527.203699999998</v>
      </c>
      <c r="R31" s="19"/>
      <c r="S31" s="19">
        <f>IF(B31="II",G31,)</f>
        <v>-0.16804799999954412</v>
      </c>
      <c r="T31" s="19"/>
      <c r="U31" s="19"/>
      <c r="AA31" t="s">
        <v>25</v>
      </c>
      <c r="AC31" t="s">
        <v>27</v>
      </c>
    </row>
    <row r="32" spans="1:29" x14ac:dyDescent="0.2">
      <c r="A32" s="22" t="s">
        <v>38</v>
      </c>
      <c r="B32" s="23" t="s">
        <v>39</v>
      </c>
      <c r="C32" s="24">
        <v>55378.489000000001</v>
      </c>
      <c r="D32" s="24">
        <v>8.9999999999999993E-3</v>
      </c>
      <c r="E32" s="19">
        <f>+(C32-C$7)/C$8</f>
        <v>5068.9486193047433</v>
      </c>
      <c r="F32" s="19">
        <f t="shared" si="1"/>
        <v>5069</v>
      </c>
      <c r="G32" s="19">
        <f>+C32-(C$7+F32*C$8)</f>
        <v>-0.16283199999452336</v>
      </c>
      <c r="H32" s="19"/>
      <c r="I32" s="19"/>
      <c r="J32" s="19"/>
      <c r="K32" s="19"/>
      <c r="L32" s="19"/>
      <c r="M32" s="19"/>
      <c r="N32" s="19">
        <f>+G32</f>
        <v>-0.16283199999452336</v>
      </c>
      <c r="O32" s="19">
        <f>+C$11+C$12*$F32</f>
        <v>-0.16302687238875563</v>
      </c>
      <c r="P32" s="19">
        <f>+D$11+D$12*$F32</f>
        <v>-0.30751515655572725</v>
      </c>
      <c r="Q32" s="21">
        <f>+C32-15018.5</f>
        <v>40359.989000000001</v>
      </c>
      <c r="R32" s="19">
        <f t="shared" si="7"/>
        <v>-0.16283199999452336</v>
      </c>
      <c r="S32" s="19"/>
      <c r="T32" s="19"/>
      <c r="U32" s="19"/>
    </row>
    <row r="33" spans="1:19" x14ac:dyDescent="0.2">
      <c r="A33" s="22" t="s">
        <v>38</v>
      </c>
      <c r="B33" s="23" t="s">
        <v>39</v>
      </c>
      <c r="C33" s="24">
        <v>55394.334000000003</v>
      </c>
      <c r="D33" s="24">
        <v>8.0000000000000002E-3</v>
      </c>
      <c r="E33" s="19">
        <f>+(C33-C$7)/C$8</f>
        <v>5073.9484173564479</v>
      </c>
      <c r="F33" s="19">
        <f t="shared" si="1"/>
        <v>5074</v>
      </c>
      <c r="G33" s="19">
        <f>+C33-(C$7+F33*C$8)</f>
        <v>-0.16347199999290751</v>
      </c>
      <c r="H33" s="19"/>
      <c r="I33" s="19"/>
      <c r="J33" s="19"/>
      <c r="K33" s="19"/>
      <c r="L33" s="19"/>
      <c r="M33" s="19"/>
      <c r="N33" s="19">
        <f>+G33</f>
        <v>-0.16347199999290751</v>
      </c>
      <c r="O33" s="19">
        <f>+C$11+C$12*$F33</f>
        <v>-0.1632688305360534</v>
      </c>
      <c r="P33" s="19">
        <f>+D$11+D$12*$F33</f>
        <v>-0.30789016803590263</v>
      </c>
      <c r="Q33" s="21">
        <f>+C33-15018.5</f>
        <v>40375.834000000003</v>
      </c>
      <c r="R33" s="19">
        <f t="shared" si="7"/>
        <v>-0.16347199999290751</v>
      </c>
      <c r="S33" s="19"/>
    </row>
    <row r="34" spans="1:19" x14ac:dyDescent="0.2">
      <c r="D34" s="5"/>
      <c r="R34" s="19" t="str">
        <f t="shared" si="7"/>
        <v xml:space="preserve"> </v>
      </c>
      <c r="S34" s="19">
        <f>IF(B34="II",G34,)</f>
        <v>0</v>
      </c>
    </row>
    <row r="35" spans="1:19" x14ac:dyDescent="0.2">
      <c r="D35" s="5"/>
    </row>
    <row r="36" spans="1:19" x14ac:dyDescent="0.2">
      <c r="D36" s="5"/>
    </row>
    <row r="37" spans="1:19" x14ac:dyDescent="0.2">
      <c r="D37" s="5"/>
    </row>
    <row r="38" spans="1:19" x14ac:dyDescent="0.2">
      <c r="D38" s="5"/>
    </row>
    <row r="39" spans="1:19" x14ac:dyDescent="0.2">
      <c r="D39" s="5"/>
    </row>
    <row r="40" spans="1:19" x14ac:dyDescent="0.2">
      <c r="D40" s="5"/>
    </row>
    <row r="41" spans="1:19" x14ac:dyDescent="0.2">
      <c r="D41" s="5"/>
    </row>
    <row r="42" spans="1:19" x14ac:dyDescent="0.2">
      <c r="D42" s="5"/>
    </row>
    <row r="43" spans="1:19" x14ac:dyDescent="0.2">
      <c r="D43" s="5"/>
    </row>
    <row r="44" spans="1:19" x14ac:dyDescent="0.2">
      <c r="D44" s="5"/>
    </row>
    <row r="45" spans="1:19" x14ac:dyDescent="0.2">
      <c r="D45" s="5"/>
    </row>
    <row r="46" spans="1:19" x14ac:dyDescent="0.2">
      <c r="D46" s="5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2024-01-11T07:04:42Z</dcterms:modified>
</cp:coreProperties>
</file>