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363A07-7EE9-4802-A585-C42EBBCD12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33" i="3" l="1"/>
  <c r="F33" i="3"/>
  <c r="G33" i="3"/>
  <c r="K33" i="3"/>
  <c r="Q33" i="3"/>
  <c r="E34" i="3"/>
  <c r="F34" i="3"/>
  <c r="G34" i="3"/>
  <c r="K34" i="3"/>
  <c r="Q34" i="3"/>
  <c r="D9" i="1"/>
  <c r="C9" i="1"/>
  <c r="Q30" i="1"/>
  <c r="Q31" i="1"/>
  <c r="C7" i="3"/>
  <c r="G21" i="3"/>
  <c r="I21" i="3"/>
  <c r="C8" i="3"/>
  <c r="F11" i="3"/>
  <c r="G11" i="3"/>
  <c r="E14" i="3"/>
  <c r="E15" i="3" s="1"/>
  <c r="C17" i="3"/>
  <c r="E21" i="3"/>
  <c r="F21" i="3"/>
  <c r="Q21" i="3"/>
  <c r="Q22" i="3"/>
  <c r="E23" i="3"/>
  <c r="F23" i="3"/>
  <c r="G23" i="3"/>
  <c r="K23" i="3"/>
  <c r="Q23" i="3"/>
  <c r="Q24" i="3"/>
  <c r="E25" i="3"/>
  <c r="F25" i="3"/>
  <c r="Q25" i="3"/>
  <c r="E26" i="3"/>
  <c r="F26" i="3"/>
  <c r="G26" i="3"/>
  <c r="K26" i="3"/>
  <c r="Q26" i="3"/>
  <c r="E27" i="3"/>
  <c r="F27" i="3"/>
  <c r="G27" i="3"/>
  <c r="K27" i="3"/>
  <c r="Q27" i="3"/>
  <c r="Q28" i="3"/>
  <c r="E29" i="3"/>
  <c r="F29" i="3"/>
  <c r="Q29" i="3"/>
  <c r="E30" i="3"/>
  <c r="F30" i="3"/>
  <c r="G30" i="3"/>
  <c r="K30" i="3"/>
  <c r="Q30" i="3"/>
  <c r="E31" i="3"/>
  <c r="F31" i="3"/>
  <c r="G31" i="3"/>
  <c r="K31" i="3"/>
  <c r="Q31" i="3"/>
  <c r="Q32" i="3"/>
  <c r="C7" i="1"/>
  <c r="E30" i="1"/>
  <c r="F30" i="1"/>
  <c r="C8" i="1"/>
  <c r="H18" i="2"/>
  <c r="B18" i="2"/>
  <c r="G18" i="2"/>
  <c r="D18" i="2"/>
  <c r="C18" i="2"/>
  <c r="A18" i="2"/>
  <c r="H17" i="2"/>
  <c r="G17" i="2"/>
  <c r="C17" i="2"/>
  <c r="E17" i="2"/>
  <c r="D17" i="2"/>
  <c r="B17" i="2"/>
  <c r="A17" i="2"/>
  <c r="H16" i="2"/>
  <c r="G16" i="2"/>
  <c r="D16" i="2"/>
  <c r="C16" i="2"/>
  <c r="E16" i="2"/>
  <c r="B16" i="2"/>
  <c r="A16" i="2"/>
  <c r="H15" i="2"/>
  <c r="B15" i="2"/>
  <c r="G15" i="2"/>
  <c r="C15" i="2"/>
  <c r="E15" i="2"/>
  <c r="D15" i="2"/>
  <c r="A15" i="2"/>
  <c r="H14" i="2"/>
  <c r="B14" i="2"/>
  <c r="G14" i="2"/>
  <c r="D14" i="2"/>
  <c r="C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Q27" i="1"/>
  <c r="Q26" i="1"/>
  <c r="Q28" i="1"/>
  <c r="Q29" i="1"/>
  <c r="Q23" i="1"/>
  <c r="Q24" i="1"/>
  <c r="Q25" i="1"/>
  <c r="Q22" i="1"/>
  <c r="F16" i="1"/>
  <c r="F17" i="1" s="1"/>
  <c r="C17" i="1"/>
  <c r="Q21" i="1"/>
  <c r="E11" i="2"/>
  <c r="G31" i="1"/>
  <c r="K31" i="1"/>
  <c r="E28" i="1"/>
  <c r="F28" i="1"/>
  <c r="G22" i="1"/>
  <c r="E25" i="1"/>
  <c r="F25" i="1"/>
  <c r="G25" i="1"/>
  <c r="K25" i="1"/>
  <c r="E22" i="3"/>
  <c r="F22" i="3"/>
  <c r="G22" i="3"/>
  <c r="E23" i="1"/>
  <c r="F23" i="1"/>
  <c r="G23" i="1"/>
  <c r="K23" i="1"/>
  <c r="E22" i="1"/>
  <c r="F22" i="1"/>
  <c r="E31" i="1"/>
  <c r="F31" i="1"/>
  <c r="G29" i="1"/>
  <c r="K29" i="1"/>
  <c r="E24" i="1"/>
  <c r="F24" i="1"/>
  <c r="G24" i="1"/>
  <c r="K24" i="1"/>
  <c r="G30" i="1"/>
  <c r="K30" i="1"/>
  <c r="E29" i="1"/>
  <c r="F29" i="1"/>
  <c r="E21" i="1"/>
  <c r="F21" i="1"/>
  <c r="G21" i="1"/>
  <c r="I21" i="1"/>
  <c r="E32" i="3"/>
  <c r="F32" i="3"/>
  <c r="G32" i="3"/>
  <c r="K32" i="3"/>
  <c r="G29" i="3"/>
  <c r="K29" i="3"/>
  <c r="E28" i="3"/>
  <c r="F28" i="3"/>
  <c r="G28" i="3"/>
  <c r="K28" i="3"/>
  <c r="G25" i="3"/>
  <c r="K25" i="3"/>
  <c r="E24" i="3"/>
  <c r="F24" i="3"/>
  <c r="G24" i="3"/>
  <c r="K24" i="3"/>
  <c r="E27" i="1"/>
  <c r="F27" i="1"/>
  <c r="G27" i="1"/>
  <c r="K27" i="1"/>
  <c r="G28" i="1"/>
  <c r="K28" i="1"/>
  <c r="E26" i="1"/>
  <c r="F26" i="1"/>
  <c r="G26" i="1"/>
  <c r="K26" i="1"/>
  <c r="E14" i="2"/>
  <c r="K22" i="3"/>
  <c r="E12" i="2"/>
  <c r="E13" i="2"/>
  <c r="E18" i="2"/>
  <c r="K22" i="1"/>
  <c r="C12" i="1"/>
  <c r="C11" i="1"/>
  <c r="C11" i="3"/>
  <c r="C12" i="3"/>
  <c r="C16" i="3" l="1"/>
  <c r="D18" i="3" s="1"/>
  <c r="O21" i="3"/>
  <c r="O32" i="3"/>
  <c r="O33" i="3"/>
  <c r="O22" i="3"/>
  <c r="O34" i="3"/>
  <c r="O31" i="3"/>
  <c r="O27" i="3"/>
  <c r="O25" i="3"/>
  <c r="O23" i="3"/>
  <c r="C15" i="3"/>
  <c r="O26" i="3"/>
  <c r="O29" i="3"/>
  <c r="O30" i="3"/>
  <c r="O28" i="3"/>
  <c r="O24" i="3"/>
  <c r="O22" i="1"/>
  <c r="O24" i="1"/>
  <c r="O28" i="1"/>
  <c r="O27" i="1"/>
  <c r="O21" i="1"/>
  <c r="O30" i="1"/>
  <c r="O26" i="1"/>
  <c r="O31" i="1"/>
  <c r="O25" i="1"/>
  <c r="O29" i="1"/>
  <c r="O23" i="1"/>
  <c r="C15" i="1"/>
  <c r="F18" i="1" s="1"/>
  <c r="C16" i="1"/>
  <c r="D18" i="1" s="1"/>
  <c r="C18" i="3" l="1"/>
  <c r="E16" i="3"/>
  <c r="E17" i="3" s="1"/>
  <c r="C18" i="1"/>
  <c r="F19" i="1"/>
</calcChain>
</file>

<file path=xl/sharedStrings.xml><?xml version="1.0" encoding="utf-8"?>
<sst xmlns="http://schemas.openxmlformats.org/spreadsheetml/2006/main" count="210" uniqueCount="103">
  <si>
    <t>IBVS 6196</t>
  </si>
  <si>
    <t>0.0185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</si>
  <si>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</si>
  <si>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</si>
  <si>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</si>
  <si>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</si>
  <si>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</si>
  <si>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</si>
  <si>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</si>
  <si>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</si>
  <si>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</si>
  <si>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</si>
  <si>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</si>
  <si>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</si>
  <si>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</si>
  <si>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</si>
  <si>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</si>
  <si>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</si>
  <si>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</si>
  <si>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</si>
  <si>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</si>
  <si>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</si>
  <si>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</si>
  <si>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</si>
  <si>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</si>
  <si>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</si>
  <si>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</si>
  <si>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</si>
  <si>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</si>
  <si>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</si>
  <si>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</si>
  <si>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</si>
  <si>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</si>
  <si>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</si>
  <si>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</si>
  <si>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</si>
  <si>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</si>
  <si>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</si>
  <si>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CL Ari / GSC 1805-0750</t>
  </si>
  <si>
    <t>EB</t>
  </si>
  <si>
    <t>OEJV 0142</t>
  </si>
  <si>
    <t>I</t>
  </si>
  <si>
    <t>OEJV 0160</t>
  </si>
  <si>
    <t>IBVS 6063</t>
  </si>
  <si>
    <t>IBVS 6084</t>
  </si>
  <si>
    <t>IBVS 6118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</si>
  <si>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</si>
  <si>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</si>
  <si>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</si>
  <si>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</si>
  <si>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</si>
  <si>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</si>
  <si>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</si>
  <si>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</si>
  <si>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</si>
  <si>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</si>
  <si>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</si>
  <si>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</si>
  <si>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2455839.599 </t>
  </si>
  <si>
    <t> 05.10.2011 02:22 </t>
  </si>
  <si>
    <t> -0.041 </t>
  </si>
  <si>
    <t>C </t>
  </si>
  <si>
    <t> A.Paschke </t>
  </si>
  <si>
    <t>OEJV 0142 </t>
  </si>
  <si>
    <t>2455894.24586 </t>
  </si>
  <si>
    <t> 28.11.2011 17:54 </t>
  </si>
  <si>
    <t> -0.04339 </t>
  </si>
  <si>
    <t> M.Moudrá </t>
  </si>
  <si>
    <t>OEJV 0160 </t>
  </si>
  <si>
    <t>2456297.6529 </t>
  </si>
  <si>
    <t> 05.01.2013 03:40 </t>
  </si>
  <si>
    <t> -0.0453 </t>
  </si>
  <si>
    <t> R.Diethelm </t>
  </si>
  <si>
    <t>IBVS 6063 </t>
  </si>
  <si>
    <t>2456338.3736 </t>
  </si>
  <si>
    <t> 14.02.2013 20:57 </t>
  </si>
  <si>
    <t> -0.0629 </t>
  </si>
  <si>
    <t>-I</t>
  </si>
  <si>
    <t> F.Agerer </t>
  </si>
  <si>
    <t>BAVM 232 </t>
  </si>
  <si>
    <t>2456351.31272 </t>
  </si>
  <si>
    <t> 27.02.2013 19:30 </t>
  </si>
  <si>
    <t>4907</t>
  </si>
  <si>
    <t> -0.04081 </t>
  </si>
  <si>
    <t> M.Urbanik </t>
  </si>
  <si>
    <t>2456354.29854 </t>
  </si>
  <si>
    <t> 02.03.2013 19:09 </t>
  </si>
  <si>
    <t>4910</t>
  </si>
  <si>
    <t> -0.03584 </t>
  </si>
  <si>
    <t>2456357.27543 </t>
  </si>
  <si>
    <t> 05.03.2013 18:36 </t>
  </si>
  <si>
    <t>4913</t>
  </si>
  <si>
    <t> -0.03980 </t>
  </si>
  <si>
    <t>2456656.3386 </t>
  </si>
  <si>
    <t> 29.12.2013 20:07 </t>
  </si>
  <si>
    <t>5214</t>
  </si>
  <si>
    <t> -0.0557 </t>
  </si>
  <si>
    <t>BAVM 234 </t>
  </si>
  <si>
    <t>s5</t>
  </si>
  <si>
    <t>s6</t>
  </si>
  <si>
    <t>s7</t>
  </si>
  <si>
    <t>OEJV 0179</t>
  </si>
  <si>
    <t>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</si>
</sst>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6" fillId="0" borderId="0" xfId="0" applyFont="1">
      <alignment vertical="top"/>
    </xf>
    <xf numFmtId="0" fontId="34" fillId="0" borderId="0" xfId="42" applyNumberFormat="1" applyFont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Ari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0-480F-AE3E-692A3F6A8F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70-480F-AE3E-692A3F6A8F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70-480F-AE3E-692A3F6A8F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-4.1255999996792525E-2</c:v>
                </c:pt>
                <c:pt idx="2">
                  <c:v>-4.3385999997553881E-2</c:v>
                </c:pt>
                <c:pt idx="3">
                  <c:v>-4.5253999996930361E-2</c:v>
                </c:pt>
                <c:pt idx="4">
                  <c:v>-6.2892000001738779E-2</c:v>
                </c:pt>
                <c:pt idx="5">
                  <c:v>-4.7485999995842576E-2</c:v>
                </c:pt>
                <c:pt idx="6">
                  <c:v>-4.0805999997246545E-2</c:v>
                </c:pt>
                <c:pt idx="7">
                  <c:v>-4.3039999996835832E-2</c:v>
                </c:pt>
                <c:pt idx="8">
                  <c:v>-3.583999999682419E-2</c:v>
                </c:pt>
                <c:pt idx="9">
                  <c:v>-4.7293999996327329E-2</c:v>
                </c:pt>
                <c:pt idx="10">
                  <c:v>-3.9803999992727768E-2</c:v>
                </c:pt>
                <c:pt idx="11">
                  <c:v>-5.5651999995461665E-2</c:v>
                </c:pt>
                <c:pt idx="12">
                  <c:v>-7.047700000111945E-2</c:v>
                </c:pt>
                <c:pt idx="13">
                  <c:v>-6.0051000000385102E-2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70-480F-AE3E-692A3F6A8F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70-480F-AE3E-692A3F6A8F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70-480F-AE3E-692A3F6A8F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2.0000000000000001E-4</c:v>
                  </c:pt>
                  <c:pt idx="7">
                    <c:v>7.6999999999999996E-4</c:v>
                  </c:pt>
                  <c:pt idx="8">
                    <c:v>8.0000000000000004E-4</c:v>
                  </c:pt>
                  <c:pt idx="9">
                    <c:v>2.2000000000000001E-4</c:v>
                  </c:pt>
                  <c:pt idx="10">
                    <c:v>2.0000000000000001E-4</c:v>
                  </c:pt>
                  <c:pt idx="11">
                    <c:v>1.5E-3</c:v>
                  </c:pt>
                  <c:pt idx="12">
                    <c:v>1.8499999999999999E-2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70-480F-AE3E-692A3F6A8F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4907</c:v>
                </c:pt>
                <c:pt idx="7">
                  <c:v>4910</c:v>
                </c:pt>
                <c:pt idx="8">
                  <c:v>4910</c:v>
                </c:pt>
                <c:pt idx="9">
                  <c:v>4913</c:v>
                </c:pt>
                <c:pt idx="10">
                  <c:v>4913</c:v>
                </c:pt>
                <c:pt idx="11">
                  <c:v>5214</c:v>
                </c:pt>
                <c:pt idx="12">
                  <c:v>5926.5</c:v>
                </c:pt>
                <c:pt idx="13">
                  <c:v>5609.5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3.4351898352865326E-3</c:v>
                </c:pt>
                <c:pt idx="1">
                  <c:v>-4.2746738809102479E-2</c:v>
                </c:pt>
                <c:pt idx="2">
                  <c:v>-4.3325064418264905E-2</c:v>
                </c:pt>
                <c:pt idx="3">
                  <c:v>-4.7594158914991212E-2</c:v>
                </c:pt>
                <c:pt idx="4">
                  <c:v>-4.8025274369094116E-2</c:v>
                </c:pt>
                <c:pt idx="5">
                  <c:v>-4.8161969513077961E-2</c:v>
                </c:pt>
                <c:pt idx="6">
                  <c:v>-4.8161969513077961E-2</c:v>
                </c:pt>
                <c:pt idx="7">
                  <c:v>-4.8193514546305008E-2</c:v>
                </c:pt>
                <c:pt idx="8">
                  <c:v>-4.8193514546305008E-2</c:v>
                </c:pt>
                <c:pt idx="9">
                  <c:v>-4.8225059579532048E-2</c:v>
                </c:pt>
                <c:pt idx="10">
                  <c:v>-4.8225059579532048E-2</c:v>
                </c:pt>
                <c:pt idx="11">
                  <c:v>-5.1390077913311898E-2</c:v>
                </c:pt>
                <c:pt idx="12">
                  <c:v>-5.8882023304734292E-2</c:v>
                </c:pt>
                <c:pt idx="13">
                  <c:v>-5.5548764793743557E-2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70-480F-AE3E-692A3F6A8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8824"/>
        <c:axId val="1"/>
      </c:scatterChart>
      <c:valAx>
        <c:axId val="77869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8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75366568914952"/>
          <c:w val="0.6105263157894736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Ari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F1-4E55-80A1-CA08C4A036D2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A!$I$21:$I$996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F1-4E55-80A1-CA08C4A036D2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F1-4E55-80A1-CA08C4A036D2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A!$K$21:$K$996</c:f>
              <c:numCache>
                <c:formatCode>General</c:formatCode>
                <c:ptCount val="976"/>
                <c:pt idx="1">
                  <c:v>-4.1255999996792525E-2</c:v>
                </c:pt>
                <c:pt idx="2">
                  <c:v>-4.3385999997553881E-2</c:v>
                </c:pt>
                <c:pt idx="3">
                  <c:v>-4.5253999996930361E-2</c:v>
                </c:pt>
                <c:pt idx="4">
                  <c:v>-6.2892000001738779E-2</c:v>
                </c:pt>
                <c:pt idx="5">
                  <c:v>-4.7485999995842576E-2</c:v>
                </c:pt>
                <c:pt idx="6">
                  <c:v>-4.3039999996835832E-2</c:v>
                </c:pt>
                <c:pt idx="7">
                  <c:v>-4.7293999996327329E-2</c:v>
                </c:pt>
                <c:pt idx="8">
                  <c:v>-5.5651999995461665E-2</c:v>
                </c:pt>
                <c:pt idx="9">
                  <c:v>-7.047700000111945E-2</c:v>
                </c:pt>
                <c:pt idx="10">
                  <c:v>-6.0051000000385102E-2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F1-4E55-80A1-CA08C4A036D2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F1-4E55-80A1-CA08C4A036D2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F1-4E55-80A1-CA08C4A036D2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F1-4E55-80A1-CA08C4A036D2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A!$O$21:$O$996</c:f>
              <c:numCache>
                <c:formatCode>General</c:formatCode>
                <c:ptCount val="976"/>
                <c:pt idx="0">
                  <c:v>3.7082009295062335E-2</c:v>
                </c:pt>
                <c:pt idx="1">
                  <c:v>-4.0782704166105938E-2</c:v>
                </c:pt>
                <c:pt idx="2">
                  <c:v>-4.1757785960360089E-2</c:v>
                </c:pt>
                <c:pt idx="3">
                  <c:v>-4.8955662477945319E-2</c:v>
                </c:pt>
                <c:pt idx="4">
                  <c:v>-4.968254163366205E-2</c:v>
                </c:pt>
                <c:pt idx="5">
                  <c:v>-4.9913015512303954E-2</c:v>
                </c:pt>
                <c:pt idx="6">
                  <c:v>-4.9966201791990544E-2</c:v>
                </c:pt>
                <c:pt idx="7">
                  <c:v>-5.0019388071677134E-2</c:v>
                </c:pt>
                <c:pt idx="8">
                  <c:v>-5.5355744800231699E-2</c:v>
                </c:pt>
                <c:pt idx="9">
                  <c:v>-6.7987486225796909E-2</c:v>
                </c:pt>
                <c:pt idx="10">
                  <c:v>-6.236746933891385E-2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F1-4E55-80A1-CA08C4A0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983472"/>
        <c:axId val="1"/>
      </c:scatterChart>
      <c:valAx>
        <c:axId val="71498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98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10526315789473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28576</xdr:rowOff>
    </xdr:from>
    <xdr:to>
      <xdr:col>18</xdr:col>
      <xdr:colOff>142875</xdr:colOff>
      <xdr:row>18</xdr:row>
      <xdr:rowOff>57151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0CF3512-CAAA-FE86-2416-9586FFB2E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15946D-AE4E-0DF5-8626-6F3D77AE1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1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32" TargetMode="External"/><Relationship Id="rId4" Type="http://schemas.openxmlformats.org/officeDocument/2006/relationships/hyperlink" Target="http://www.konkoly.hu/cgi-bin/IBVS?6063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27</v>
      </c>
      <c r="B2" t="s">
        <v>39</v>
      </c>
      <c r="D2" s="3"/>
    </row>
    <row r="3" spans="1:7" ht="13.5" thickBot="1" x14ac:dyDescent="0.25"/>
    <row r="4" spans="1:7" ht="14.25" thickTop="1" thickBot="1" x14ac:dyDescent="0.25">
      <c r="A4" s="5" t="s">
        <v>3</v>
      </c>
      <c r="C4" s="8">
        <v>51475.67</v>
      </c>
      <c r="D4" s="9">
        <v>0.993618</v>
      </c>
    </row>
    <row r="6" spans="1:7" x14ac:dyDescent="0.2">
      <c r="A6" s="5" t="s">
        <v>4</v>
      </c>
    </row>
    <row r="7" spans="1:7" x14ac:dyDescent="0.2">
      <c r="A7" t="s">
        <v>5</v>
      </c>
      <c r="C7">
        <f>+C4</f>
        <v>51475.67</v>
      </c>
    </row>
    <row r="8" spans="1:7" x14ac:dyDescent="0.2">
      <c r="A8" t="s">
        <v>6</v>
      </c>
      <c r="C8">
        <f>+D4</f>
        <v>0.993618</v>
      </c>
    </row>
    <row r="9" spans="1:7" x14ac:dyDescent="0.2">
      <c r="A9" s="11" t="s">
        <v>29</v>
      </c>
      <c r="B9" s="12"/>
      <c r="C9" s="13">
        <v>-9.5</v>
      </c>
      <c r="D9" s="62" t="s">
        <v>102</v>
      </c>
      <c r="E9" s="12"/>
    </row>
    <row r="10" spans="1:7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7" x14ac:dyDescent="0.2">
      <c r="A11" s="12" t="s">
        <v>19</v>
      </c>
      <c r="B11" s="12"/>
      <c r="C11" s="24">
        <f ca="1">INTERCEPT(INDIRECT($G$11):G992,INDIRECT($F$11):F992)</f>
        <v>3.4351898352865326E-3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20</v>
      </c>
      <c r="B12" s="12"/>
      <c r="C12" s="24">
        <f ca="1">SLOPE(INDIRECT($G$11):G992,INDIRECT($F$11):F992)</f>
        <v>-1.0515011075680558E-5</v>
      </c>
      <c r="D12" s="3"/>
      <c r="E12" s="12"/>
    </row>
    <row r="13" spans="1:7" x14ac:dyDescent="0.2">
      <c r="A13" s="12" t="s">
        <v>22</v>
      </c>
      <c r="B13" s="12"/>
      <c r="C13" s="3" t="s">
        <v>17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60322.751633101849</v>
      </c>
    </row>
    <row r="15" spans="1:7" x14ac:dyDescent="0.2">
      <c r="A15" s="14" t="s">
        <v>21</v>
      </c>
      <c r="B15" s="12"/>
      <c r="C15" s="15">
        <f ca="1">(C7+C11)+(C8+C12)*INT(MAX(F21:F3533))</f>
        <v>57363.791391234197</v>
      </c>
      <c r="D15" s="16" t="s">
        <v>36</v>
      </c>
      <c r="E15" s="17">
        <f ca="1">ROUND(2*(E14-$C$7)/$C$8,0)/2+E13</f>
        <v>8905</v>
      </c>
    </row>
    <row r="16" spans="1:7" x14ac:dyDescent="0.2">
      <c r="A16" s="18" t="s">
        <v>7</v>
      </c>
      <c r="B16" s="12"/>
      <c r="C16" s="19">
        <f ca="1">+C8+C12</f>
        <v>0.99360748498892437</v>
      </c>
      <c r="D16" s="16" t="s">
        <v>37</v>
      </c>
      <c r="E16" s="26">
        <f ca="1">ROUND(2*(E14-$C$15)/$C$16,0)/2+E13</f>
        <v>2979</v>
      </c>
    </row>
    <row r="17" spans="1:17" ht="13.5" thickBot="1" x14ac:dyDescent="0.25">
      <c r="A17" s="16" t="s">
        <v>28</v>
      </c>
      <c r="B17" s="12"/>
      <c r="C17" s="12">
        <f>COUNT(C21:C2191)</f>
        <v>14</v>
      </c>
      <c r="D17" s="16" t="s">
        <v>32</v>
      </c>
      <c r="E17" s="20">
        <f ca="1">+$C$15+$C$16*E16-15018.5-$C$9/24</f>
        <v>45305.64392234954</v>
      </c>
    </row>
    <row r="18" spans="1:17" ht="14.25" thickTop="1" thickBot="1" x14ac:dyDescent="0.25">
      <c r="A18" s="18" t="s">
        <v>8</v>
      </c>
      <c r="B18" s="12"/>
      <c r="C18" s="21">
        <f ca="1">+C15</f>
        <v>57363.791391234197</v>
      </c>
      <c r="D18" s="22">
        <f ca="1">+C16</f>
        <v>0.99360748498892437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98</v>
      </c>
      <c r="M20" s="7" t="s">
        <v>99</v>
      </c>
      <c r="N20" s="7" t="s">
        <v>100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v>51475.67</v>
      </c>
      <c r="D21" s="10" t="s">
        <v>17</v>
      </c>
      <c r="E21">
        <f t="shared" ref="E21:E32" si="0">+(C21-C$7)/C$8</f>
        <v>0</v>
      </c>
      <c r="F21">
        <f t="shared" ref="F21:F32" si="1">ROUND(2*E21,0)/2</f>
        <v>0</v>
      </c>
      <c r="G21">
        <f t="shared" ref="G21:G32" si="2">+C21-(C$7+F21*C$8)</f>
        <v>0</v>
      </c>
      <c r="I21">
        <f>+G21</f>
        <v>0</v>
      </c>
      <c r="O21">
        <f t="shared" ref="O21:O32" ca="1" si="3">+C$11+C$12*$F21</f>
        <v>3.4351898352865326E-3</v>
      </c>
      <c r="Q21" s="2">
        <f t="shared" ref="Q21:Q32" si="4">+C21-15018.5</f>
        <v>36457.17</v>
      </c>
    </row>
    <row r="22" spans="1:17" x14ac:dyDescent="0.2">
      <c r="A22" s="29" t="s">
        <v>40</v>
      </c>
      <c r="B22" s="30" t="s">
        <v>41</v>
      </c>
      <c r="C22" s="29">
        <v>55839.599000000002</v>
      </c>
      <c r="D22" s="29">
        <v>7.0000000000000001E-3</v>
      </c>
      <c r="E22">
        <f t="shared" si="0"/>
        <v>4391.9584790130648</v>
      </c>
      <c r="F22">
        <f t="shared" si="1"/>
        <v>4392</v>
      </c>
      <c r="G22">
        <f t="shared" si="2"/>
        <v>-4.1255999996792525E-2</v>
      </c>
      <c r="K22">
        <f t="shared" ref="K22:K32" si="5">+G22</f>
        <v>-4.1255999996792525E-2</v>
      </c>
      <c r="O22">
        <f t="shared" ca="1" si="3"/>
        <v>-4.2746738809102479E-2</v>
      </c>
      <c r="Q22" s="2">
        <f t="shared" si="4"/>
        <v>40821.099000000002</v>
      </c>
    </row>
    <row r="23" spans="1:17" x14ac:dyDescent="0.2">
      <c r="A23" s="31" t="s">
        <v>42</v>
      </c>
      <c r="B23" s="32" t="s">
        <v>41</v>
      </c>
      <c r="C23" s="33">
        <v>55894.245860000003</v>
      </c>
      <c r="D23" s="33">
        <v>5.9999999999999995E-4</v>
      </c>
      <c r="E23">
        <f t="shared" si="0"/>
        <v>4446.9563353320937</v>
      </c>
      <c r="F23">
        <f t="shared" si="1"/>
        <v>4447</v>
      </c>
      <c r="G23">
        <f t="shared" si="2"/>
        <v>-4.3385999997553881E-2</v>
      </c>
      <c r="K23">
        <f t="shared" si="5"/>
        <v>-4.3385999997553881E-2</v>
      </c>
      <c r="O23">
        <f t="shared" ca="1" si="3"/>
        <v>-4.3325064418264905E-2</v>
      </c>
      <c r="Q23" s="2">
        <f t="shared" si="4"/>
        <v>40875.745860000003</v>
      </c>
    </row>
    <row r="24" spans="1:17" x14ac:dyDescent="0.2">
      <c r="A24" s="31" t="s">
        <v>43</v>
      </c>
      <c r="B24" s="32" t="s">
        <v>41</v>
      </c>
      <c r="C24" s="33">
        <v>56297.652900000001</v>
      </c>
      <c r="D24" s="33">
        <v>1.3999999999999999E-4</v>
      </c>
      <c r="E24">
        <f t="shared" si="0"/>
        <v>4852.9544553339438</v>
      </c>
      <c r="F24">
        <f t="shared" si="1"/>
        <v>4853</v>
      </c>
      <c r="G24">
        <f t="shared" si="2"/>
        <v>-4.5253999996930361E-2</v>
      </c>
      <c r="K24">
        <f t="shared" si="5"/>
        <v>-4.5253999996930361E-2</v>
      </c>
      <c r="O24">
        <f t="shared" ca="1" si="3"/>
        <v>-4.7594158914991212E-2</v>
      </c>
      <c r="Q24" s="2">
        <f t="shared" si="4"/>
        <v>41279.152900000001</v>
      </c>
    </row>
    <row r="25" spans="1:17" x14ac:dyDescent="0.2">
      <c r="A25" s="33" t="s">
        <v>44</v>
      </c>
      <c r="B25" s="32" t="s">
        <v>41</v>
      </c>
      <c r="C25" s="33">
        <v>56338.373599999999</v>
      </c>
      <c r="D25" s="33">
        <v>8.0999999999999996E-3</v>
      </c>
      <c r="E25">
        <f t="shared" si="0"/>
        <v>4893.9367040452171</v>
      </c>
      <c r="F25">
        <f t="shared" si="1"/>
        <v>4894</v>
      </c>
      <c r="G25">
        <f t="shared" si="2"/>
        <v>-6.2892000001738779E-2</v>
      </c>
      <c r="K25">
        <f t="shared" si="5"/>
        <v>-6.2892000001738779E-2</v>
      </c>
      <c r="O25">
        <f t="shared" ca="1" si="3"/>
        <v>-4.8025274369094116E-2</v>
      </c>
      <c r="Q25" s="2">
        <f t="shared" si="4"/>
        <v>41319.873599999999</v>
      </c>
    </row>
    <row r="26" spans="1:17" x14ac:dyDescent="0.2">
      <c r="A26" s="34" t="s">
        <v>46</v>
      </c>
      <c r="B26" s="39"/>
      <c r="C26" s="34">
        <v>56351.306040000003</v>
      </c>
      <c r="D26" s="34">
        <v>2.4000000000000001E-4</v>
      </c>
      <c r="E26">
        <f t="shared" si="0"/>
        <v>4906.9522089978291</v>
      </c>
      <c r="F26">
        <f t="shared" si="1"/>
        <v>4907</v>
      </c>
      <c r="G26">
        <f t="shared" si="2"/>
        <v>-4.7485999995842576E-2</v>
      </c>
      <c r="K26">
        <f t="shared" si="5"/>
        <v>-4.7485999995842576E-2</v>
      </c>
      <c r="O26">
        <f t="shared" ca="1" si="3"/>
        <v>-4.8161969513077961E-2</v>
      </c>
      <c r="Q26" s="2">
        <f t="shared" si="4"/>
        <v>41332.806040000003</v>
      </c>
    </row>
    <row r="27" spans="1:17" x14ac:dyDescent="0.2">
      <c r="A27" s="31" t="s">
        <v>42</v>
      </c>
      <c r="B27" s="32" t="s">
        <v>41</v>
      </c>
      <c r="C27" s="33">
        <v>56351.312720000002</v>
      </c>
      <c r="D27" s="33">
        <v>2.0000000000000001E-4</v>
      </c>
      <c r="E27">
        <f t="shared" si="0"/>
        <v>4906.9589319034112</v>
      </c>
      <c r="F27">
        <f t="shared" si="1"/>
        <v>4907</v>
      </c>
      <c r="G27">
        <f t="shared" si="2"/>
        <v>-4.0805999997246545E-2</v>
      </c>
      <c r="K27">
        <f t="shared" si="5"/>
        <v>-4.0805999997246545E-2</v>
      </c>
      <c r="O27">
        <f t="shared" ca="1" si="3"/>
        <v>-4.8161969513077961E-2</v>
      </c>
      <c r="Q27" s="2">
        <f t="shared" si="4"/>
        <v>41332.812720000002</v>
      </c>
    </row>
    <row r="28" spans="1:17" x14ac:dyDescent="0.2">
      <c r="A28" s="34" t="s">
        <v>46</v>
      </c>
      <c r="B28" s="39"/>
      <c r="C28" s="34">
        <v>56354.291340000003</v>
      </c>
      <c r="D28" s="34">
        <v>7.6999999999999996E-4</v>
      </c>
      <c r="E28">
        <f t="shared" si="0"/>
        <v>4909.9566835544492</v>
      </c>
      <c r="F28">
        <f t="shared" si="1"/>
        <v>4910</v>
      </c>
      <c r="G28">
        <f t="shared" si="2"/>
        <v>-4.3039999996835832E-2</v>
      </c>
      <c r="K28">
        <f t="shared" si="5"/>
        <v>-4.3039999996835832E-2</v>
      </c>
      <c r="O28">
        <f t="shared" ca="1" si="3"/>
        <v>-4.8193514546305008E-2</v>
      </c>
      <c r="Q28" s="2">
        <f t="shared" si="4"/>
        <v>41335.791340000003</v>
      </c>
    </row>
    <row r="29" spans="1:17" x14ac:dyDescent="0.2">
      <c r="A29" s="31" t="s">
        <v>42</v>
      </c>
      <c r="B29" s="32" t="s">
        <v>41</v>
      </c>
      <c r="C29" s="33">
        <v>56354.298540000003</v>
      </c>
      <c r="D29" s="33">
        <v>8.0000000000000004E-4</v>
      </c>
      <c r="E29">
        <f t="shared" si="0"/>
        <v>4909.9639297999884</v>
      </c>
      <c r="F29">
        <f t="shared" si="1"/>
        <v>4910</v>
      </c>
      <c r="G29">
        <f t="shared" si="2"/>
        <v>-3.583999999682419E-2</v>
      </c>
      <c r="K29">
        <f t="shared" si="5"/>
        <v>-3.583999999682419E-2</v>
      </c>
      <c r="O29">
        <f t="shared" ca="1" si="3"/>
        <v>-4.8193514546305008E-2</v>
      </c>
      <c r="Q29" s="2">
        <f t="shared" si="4"/>
        <v>41335.798540000003</v>
      </c>
    </row>
    <row r="30" spans="1:17" x14ac:dyDescent="0.2">
      <c r="A30" s="34" t="s">
        <v>46</v>
      </c>
      <c r="B30" s="39"/>
      <c r="C30" s="34">
        <v>56357.267939999998</v>
      </c>
      <c r="D30" s="34">
        <v>2.2000000000000001E-4</v>
      </c>
      <c r="E30">
        <f t="shared" si="0"/>
        <v>4912.9524022310379</v>
      </c>
      <c r="F30">
        <f t="shared" si="1"/>
        <v>4913</v>
      </c>
      <c r="G30">
        <f t="shared" si="2"/>
        <v>-4.7293999996327329E-2</v>
      </c>
      <c r="K30">
        <f t="shared" si="5"/>
        <v>-4.7293999996327329E-2</v>
      </c>
      <c r="O30">
        <f t="shared" ca="1" si="3"/>
        <v>-4.8225059579532048E-2</v>
      </c>
      <c r="Q30" s="2">
        <f t="shared" si="4"/>
        <v>41338.767939999998</v>
      </c>
    </row>
    <row r="31" spans="1:17" x14ac:dyDescent="0.2">
      <c r="A31" s="31" t="s">
        <v>42</v>
      </c>
      <c r="B31" s="32" t="s">
        <v>41</v>
      </c>
      <c r="C31" s="33">
        <v>56357.275430000002</v>
      </c>
      <c r="D31" s="33">
        <v>2.0000000000000001E-4</v>
      </c>
      <c r="E31">
        <f t="shared" si="0"/>
        <v>4912.9599403392485</v>
      </c>
      <c r="F31">
        <f t="shared" si="1"/>
        <v>4913</v>
      </c>
      <c r="G31">
        <f t="shared" si="2"/>
        <v>-3.9803999992727768E-2</v>
      </c>
      <c r="K31">
        <f t="shared" si="5"/>
        <v>-3.9803999992727768E-2</v>
      </c>
      <c r="O31">
        <f t="shared" ca="1" si="3"/>
        <v>-4.8225059579532048E-2</v>
      </c>
      <c r="Q31" s="2">
        <f t="shared" si="4"/>
        <v>41338.775430000002</v>
      </c>
    </row>
    <row r="32" spans="1:17" x14ac:dyDescent="0.2">
      <c r="A32" s="35" t="s">
        <v>45</v>
      </c>
      <c r="B32" s="36" t="s">
        <v>41</v>
      </c>
      <c r="C32" s="37">
        <v>56656.338600000003</v>
      </c>
      <c r="D32" s="38">
        <v>1.5E-3</v>
      </c>
      <c r="E32">
        <f t="shared" si="0"/>
        <v>5213.9439905476802</v>
      </c>
      <c r="F32">
        <f t="shared" si="1"/>
        <v>5214</v>
      </c>
      <c r="G32">
        <f t="shared" si="2"/>
        <v>-5.5651999995461665E-2</v>
      </c>
      <c r="K32">
        <f t="shared" si="5"/>
        <v>-5.5651999995461665E-2</v>
      </c>
      <c r="O32">
        <f t="shared" ca="1" si="3"/>
        <v>-5.1390077913311898E-2</v>
      </c>
      <c r="Q32" s="2">
        <f t="shared" si="4"/>
        <v>41637.838600000003</v>
      </c>
    </row>
    <row r="33" spans="1:17" x14ac:dyDescent="0.2">
      <c r="A33" s="56" t="s">
        <v>0</v>
      </c>
      <c r="B33" s="57" t="s">
        <v>41</v>
      </c>
      <c r="C33" s="58">
        <v>57364.276599999997</v>
      </c>
      <c r="D33" s="63">
        <v>1.8499999999999999E-2</v>
      </c>
      <c r="E33">
        <f>+(C33-C$7)/C$8</f>
        <v>5926.4290703268252</v>
      </c>
      <c r="F33">
        <f>ROUND(2*E33,0)/2</f>
        <v>5926.5</v>
      </c>
      <c r="G33">
        <f>+C33-(C$7+F33*C$8)</f>
        <v>-7.047700000111945E-2</v>
      </c>
      <c r="K33">
        <f>+G33</f>
        <v>-7.047700000111945E-2</v>
      </c>
      <c r="O33">
        <f ca="1">+C$11+C$12*$F33</f>
        <v>-5.8882023304734292E-2</v>
      </c>
      <c r="Q33" s="2">
        <f>+C33-15018.5</f>
        <v>42345.776599999997</v>
      </c>
    </row>
    <row r="34" spans="1:17" x14ac:dyDescent="0.2">
      <c r="A34" s="59" t="s">
        <v>101</v>
      </c>
      <c r="B34" s="60" t="s">
        <v>2</v>
      </c>
      <c r="C34" s="61">
        <v>57049.310120000002</v>
      </c>
      <c r="D34" s="61">
        <v>2.9999999999999997E-4</v>
      </c>
      <c r="E34">
        <f>+(C34-C$7)/C$8</f>
        <v>5609.4395632929391</v>
      </c>
      <c r="F34">
        <f>ROUND(2*E34,0)/2</f>
        <v>5609.5</v>
      </c>
      <c r="G34">
        <f>+C34-(C$7+F34*C$8)</f>
        <v>-6.0051000000385102E-2</v>
      </c>
      <c r="K34">
        <f>+G34</f>
        <v>-6.0051000000385102E-2</v>
      </c>
      <c r="O34">
        <f ca="1">+C$11+C$12*$F34</f>
        <v>-5.5548764793743557E-2</v>
      </c>
      <c r="Q34" s="2">
        <f>+C34-15018.5</f>
        <v>42030.810120000002</v>
      </c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6937"/>
  <sheetViews>
    <sheetView workbookViewId="0">
      <selection activeCell="C45" sqref="C4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27</v>
      </c>
      <c r="B2" t="s">
        <v>39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51475.67</v>
      </c>
      <c r="D4" s="9">
        <v>0.993618</v>
      </c>
    </row>
    <row r="5" spans="1:6" ht="13.5" thickTop="1" x14ac:dyDescent="0.2">
      <c r="A5" s="11" t="s">
        <v>29</v>
      </c>
      <c r="B5" s="12"/>
      <c r="C5" s="13">
        <v>8</v>
      </c>
      <c r="D5" s="12" t="s">
        <v>30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51475.67</v>
      </c>
    </row>
    <row r="8" spans="1:6" x14ac:dyDescent="0.2">
      <c r="A8" t="s">
        <v>6</v>
      </c>
      <c r="C8">
        <f>+D4</f>
        <v>0.993618</v>
      </c>
    </row>
    <row r="9" spans="1:6" x14ac:dyDescent="0.2">
      <c r="A9" s="27" t="s">
        <v>34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4">
        <f ca="1">INTERCEPT(INDIRECT($D$9):G989,INDIRECT($C$9):F989)</f>
        <v>3.7082009295062335E-2</v>
      </c>
      <c r="D11" s="3"/>
      <c r="E11" s="12"/>
    </row>
    <row r="12" spans="1:6" x14ac:dyDescent="0.2">
      <c r="A12" s="12" t="s">
        <v>20</v>
      </c>
      <c r="B12" s="12"/>
      <c r="C12" s="24">
        <f ca="1">SLOPE(INDIRECT($D$9):G989,INDIRECT($C$9):F989)</f>
        <v>-1.7728759895530117E-5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(C7+C11)+(C8+C12)*INT(MAX(F21:F3530))</f>
        <v>57363.782289378149</v>
      </c>
      <c r="E15" s="16" t="s">
        <v>35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0.99360027124010442</v>
      </c>
      <c r="E16" s="16" t="s">
        <v>31</v>
      </c>
      <c r="F16" s="17">
        <f ca="1">NOW()+15018.5+$C$5/24</f>
        <v>60323.48079976852</v>
      </c>
    </row>
    <row r="17" spans="1:17" ht="13.5" thickBot="1" x14ac:dyDescent="0.25">
      <c r="A17" s="16" t="s">
        <v>28</v>
      </c>
      <c r="B17" s="12"/>
      <c r="C17" s="12">
        <f>COUNT(C21:C2188)</f>
        <v>11</v>
      </c>
      <c r="E17" s="16" t="s">
        <v>36</v>
      </c>
      <c r="F17" s="17">
        <f ca="1">ROUND(2*(F16-$C$7)/$C$8,0)/2+F15</f>
        <v>8905.5</v>
      </c>
    </row>
    <row r="18" spans="1:17" ht="14.25" thickTop="1" thickBot="1" x14ac:dyDescent="0.25">
      <c r="A18" s="18" t="s">
        <v>8</v>
      </c>
      <c r="B18" s="12"/>
      <c r="C18" s="21">
        <f ca="1">+C15</f>
        <v>57363.782289378149</v>
      </c>
      <c r="D18" s="22">
        <f ca="1">+C16</f>
        <v>0.99360027124010442</v>
      </c>
      <c r="E18" s="16" t="s">
        <v>37</v>
      </c>
      <c r="F18" s="26">
        <f ca="1">ROUND(2*(F16-$C$15)/$C$16,0)/2+F15</f>
        <v>2980</v>
      </c>
    </row>
    <row r="19" spans="1:17" ht="13.5" thickTop="1" x14ac:dyDescent="0.2">
      <c r="E19" s="16" t="s">
        <v>32</v>
      </c>
      <c r="F19" s="20">
        <f ca="1">+$C$15+$C$16*F18-15018.5-$C$5/24</f>
        <v>45305.877764340323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98</v>
      </c>
      <c r="M20" s="7" t="s">
        <v>99</v>
      </c>
      <c r="N20" s="7" t="s">
        <v>100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v>51475.67</v>
      </c>
      <c r="D21" s="10" t="s">
        <v>17</v>
      </c>
      <c r="E21">
        <f t="shared" ref="E21:E29" si="0">+(C21-C$7)/C$8</f>
        <v>0</v>
      </c>
      <c r="F21">
        <f t="shared" ref="F21:F31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3.7082009295062335E-2</v>
      </c>
      <c r="Q21" s="2">
        <f t="shared" ref="Q21:Q29" si="4">+C21-15018.5</f>
        <v>36457.17</v>
      </c>
    </row>
    <row r="22" spans="1:17" x14ac:dyDescent="0.2">
      <c r="A22" s="29" t="s">
        <v>40</v>
      </c>
      <c r="B22" s="30" t="s">
        <v>41</v>
      </c>
      <c r="C22" s="29">
        <v>55839.599000000002</v>
      </c>
      <c r="D22" s="29">
        <v>7.0000000000000001E-3</v>
      </c>
      <c r="E22">
        <f t="shared" si="0"/>
        <v>4391.9584790130648</v>
      </c>
      <c r="F22">
        <f t="shared" si="1"/>
        <v>4392</v>
      </c>
      <c r="G22">
        <f t="shared" si="2"/>
        <v>-4.1255999996792525E-2</v>
      </c>
      <c r="K22">
        <f t="shared" ref="K22:K29" si="5">+G22</f>
        <v>-4.1255999996792525E-2</v>
      </c>
      <c r="O22">
        <f t="shared" ca="1" si="3"/>
        <v>-4.0782704166105938E-2</v>
      </c>
      <c r="Q22" s="2">
        <f t="shared" si="4"/>
        <v>40821.099000000002</v>
      </c>
    </row>
    <row r="23" spans="1:17" x14ac:dyDescent="0.2">
      <c r="A23" s="31" t="s">
        <v>42</v>
      </c>
      <c r="B23" s="32" t="s">
        <v>41</v>
      </c>
      <c r="C23" s="33">
        <v>55894.245860000003</v>
      </c>
      <c r="D23" s="33">
        <v>5.9999999999999995E-4</v>
      </c>
      <c r="E23">
        <f t="shared" si="0"/>
        <v>4446.9563353320937</v>
      </c>
      <c r="F23">
        <f t="shared" si="1"/>
        <v>4447</v>
      </c>
      <c r="G23">
        <f t="shared" si="2"/>
        <v>-4.3385999997553881E-2</v>
      </c>
      <c r="K23">
        <f t="shared" si="5"/>
        <v>-4.3385999997553881E-2</v>
      </c>
      <c r="O23">
        <f t="shared" ca="1" si="3"/>
        <v>-4.1757785960360089E-2</v>
      </c>
      <c r="Q23" s="2">
        <f t="shared" si="4"/>
        <v>40875.745860000003</v>
      </c>
    </row>
    <row r="24" spans="1:17" x14ac:dyDescent="0.2">
      <c r="A24" s="31" t="s">
        <v>43</v>
      </c>
      <c r="B24" s="32" t="s">
        <v>41</v>
      </c>
      <c r="C24" s="33">
        <v>56297.652900000001</v>
      </c>
      <c r="D24" s="33">
        <v>1.3999999999999999E-4</v>
      </c>
      <c r="E24">
        <f t="shared" si="0"/>
        <v>4852.9544553339438</v>
      </c>
      <c r="F24">
        <f t="shared" si="1"/>
        <v>4853</v>
      </c>
      <c r="G24">
        <f t="shared" si="2"/>
        <v>-4.5253999996930361E-2</v>
      </c>
      <c r="K24">
        <f t="shared" si="5"/>
        <v>-4.5253999996930361E-2</v>
      </c>
      <c r="O24">
        <f t="shared" ca="1" si="3"/>
        <v>-4.8955662477945319E-2</v>
      </c>
      <c r="Q24" s="2">
        <f t="shared" si="4"/>
        <v>41279.152900000001</v>
      </c>
    </row>
    <row r="25" spans="1:17" x14ac:dyDescent="0.2">
      <c r="A25" s="33" t="s">
        <v>44</v>
      </c>
      <c r="B25" s="32" t="s">
        <v>41</v>
      </c>
      <c r="C25" s="33">
        <v>56338.373599999999</v>
      </c>
      <c r="D25" s="33">
        <v>8.0999999999999996E-3</v>
      </c>
      <c r="E25">
        <f t="shared" si="0"/>
        <v>4893.9367040452171</v>
      </c>
      <c r="F25">
        <f t="shared" si="1"/>
        <v>4894</v>
      </c>
      <c r="G25">
        <f t="shared" si="2"/>
        <v>-6.2892000001738779E-2</v>
      </c>
      <c r="K25">
        <f t="shared" si="5"/>
        <v>-6.2892000001738779E-2</v>
      </c>
      <c r="O25">
        <f t="shared" ca="1" si="3"/>
        <v>-4.968254163366205E-2</v>
      </c>
      <c r="Q25" s="2">
        <f t="shared" si="4"/>
        <v>41319.873599999999</v>
      </c>
    </row>
    <row r="26" spans="1:17" x14ac:dyDescent="0.2">
      <c r="A26" s="33" t="s">
        <v>46</v>
      </c>
      <c r="B26" s="32"/>
      <c r="C26" s="33">
        <v>56351.306040000003</v>
      </c>
      <c r="D26" s="33">
        <v>2.4000000000000001E-4</v>
      </c>
      <c r="E26">
        <f t="shared" si="0"/>
        <v>4906.9522089978291</v>
      </c>
      <c r="F26">
        <f t="shared" si="1"/>
        <v>4907</v>
      </c>
      <c r="G26">
        <f t="shared" si="2"/>
        <v>-4.7485999995842576E-2</v>
      </c>
      <c r="K26">
        <f t="shared" si="5"/>
        <v>-4.7485999995842576E-2</v>
      </c>
      <c r="O26">
        <f t="shared" ca="1" si="3"/>
        <v>-4.9913015512303954E-2</v>
      </c>
      <c r="Q26" s="2">
        <f t="shared" si="4"/>
        <v>41332.806040000003</v>
      </c>
    </row>
    <row r="27" spans="1:17" x14ac:dyDescent="0.2">
      <c r="A27" s="33" t="s">
        <v>46</v>
      </c>
      <c r="B27" s="32"/>
      <c r="C27" s="33">
        <v>56354.291340000003</v>
      </c>
      <c r="D27" s="33">
        <v>7.6999999999999996E-4</v>
      </c>
      <c r="E27">
        <f t="shared" si="0"/>
        <v>4909.9566835544492</v>
      </c>
      <c r="F27">
        <f t="shared" si="1"/>
        <v>4910</v>
      </c>
      <c r="G27">
        <f t="shared" si="2"/>
        <v>-4.3039999996835832E-2</v>
      </c>
      <c r="K27">
        <f t="shared" si="5"/>
        <v>-4.3039999996835832E-2</v>
      </c>
      <c r="O27">
        <f t="shared" ca="1" si="3"/>
        <v>-4.9966201791990544E-2</v>
      </c>
      <c r="Q27" s="2">
        <f t="shared" si="4"/>
        <v>41335.791340000003</v>
      </c>
    </row>
    <row r="28" spans="1:17" x14ac:dyDescent="0.2">
      <c r="A28" s="33" t="s">
        <v>46</v>
      </c>
      <c r="B28" s="32"/>
      <c r="C28" s="33">
        <v>56357.267939999998</v>
      </c>
      <c r="D28" s="33">
        <v>2.2000000000000001E-4</v>
      </c>
      <c r="E28">
        <f t="shared" si="0"/>
        <v>4912.9524022310379</v>
      </c>
      <c r="F28">
        <f t="shared" si="1"/>
        <v>4913</v>
      </c>
      <c r="G28">
        <f t="shared" si="2"/>
        <v>-4.7293999996327329E-2</v>
      </c>
      <c r="K28">
        <f t="shared" si="5"/>
        <v>-4.7293999996327329E-2</v>
      </c>
      <c r="O28">
        <f t="shared" ca="1" si="3"/>
        <v>-5.0019388071677134E-2</v>
      </c>
      <c r="Q28" s="2">
        <f t="shared" si="4"/>
        <v>41338.767939999998</v>
      </c>
    </row>
    <row r="29" spans="1:17" x14ac:dyDescent="0.2">
      <c r="A29" s="53" t="s">
        <v>45</v>
      </c>
      <c r="B29" s="54" t="s">
        <v>41</v>
      </c>
      <c r="C29" s="33">
        <v>56656.338600000003</v>
      </c>
      <c r="D29" s="55">
        <v>1.5E-3</v>
      </c>
      <c r="E29">
        <f t="shared" si="0"/>
        <v>5213.9439905476802</v>
      </c>
      <c r="F29">
        <f t="shared" si="1"/>
        <v>5214</v>
      </c>
      <c r="G29">
        <f t="shared" si="2"/>
        <v>-5.5651999995461665E-2</v>
      </c>
      <c r="K29">
        <f t="shared" si="5"/>
        <v>-5.5651999995461665E-2</v>
      </c>
      <c r="O29">
        <f t="shared" ca="1" si="3"/>
        <v>-5.5355744800231699E-2</v>
      </c>
      <c r="Q29" s="2">
        <f t="shared" si="4"/>
        <v>41637.838600000003</v>
      </c>
    </row>
    <row r="30" spans="1:17" x14ac:dyDescent="0.2">
      <c r="A30" s="56" t="s">
        <v>0</v>
      </c>
      <c r="B30" s="57" t="s">
        <v>41</v>
      </c>
      <c r="C30" s="58">
        <v>57364.276599999997</v>
      </c>
      <c r="D30" s="58" t="s">
        <v>1</v>
      </c>
      <c r="E30">
        <f>+(C30-C$7)/C$8</f>
        <v>5926.4290703268252</v>
      </c>
      <c r="F30">
        <f t="shared" si="1"/>
        <v>5926.5</v>
      </c>
      <c r="G30">
        <f>+C30-(C$7+F30*C$8)</f>
        <v>-7.047700000111945E-2</v>
      </c>
      <c r="K30">
        <f>+G30</f>
        <v>-7.047700000111945E-2</v>
      </c>
      <c r="O30">
        <f ca="1">+C$11+C$12*$F30</f>
        <v>-6.7987486225796909E-2</v>
      </c>
      <c r="Q30" s="2">
        <f>+C30-15018.5</f>
        <v>42345.776599999997</v>
      </c>
    </row>
    <row r="31" spans="1:17" x14ac:dyDescent="0.2">
      <c r="A31" s="59" t="s">
        <v>101</v>
      </c>
      <c r="B31" s="60" t="s">
        <v>2</v>
      </c>
      <c r="C31" s="61">
        <v>57049.310120000002</v>
      </c>
      <c r="D31" s="61">
        <v>2.9999999999999997E-4</v>
      </c>
      <c r="E31">
        <f>+(C31-C$7)/C$8</f>
        <v>5609.4395632929391</v>
      </c>
      <c r="F31">
        <f t="shared" si="1"/>
        <v>5609.5</v>
      </c>
      <c r="G31">
        <f>+C31-(C$7+F31*C$8)</f>
        <v>-6.0051000000385102E-2</v>
      </c>
      <c r="K31">
        <f>+G31</f>
        <v>-6.0051000000385102E-2</v>
      </c>
      <c r="O31">
        <f ca="1">+C$11+C$12*$F31</f>
        <v>-6.236746933891385E-2</v>
      </c>
      <c r="Q31" s="2">
        <f>+C31-15018.5</f>
        <v>42030.810120000002</v>
      </c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sheetProtection sheet="1"/>
  <phoneticPr fontId="8" type="noConversion"/>
  <hyperlinks>
    <hyperlink ref="H326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0"/>
  <sheetViews>
    <sheetView workbookViewId="0">
      <selection activeCell="E12" sqref="E12:E1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0" t="s">
        <v>47</v>
      </c>
      <c r="I1" s="41" t="s">
        <v>48</v>
      </c>
      <c r="J1" s="42" t="s">
        <v>49</v>
      </c>
    </row>
    <row r="2" spans="1:16" x14ac:dyDescent="0.2">
      <c r="I2" s="43" t="s">
        <v>50</v>
      </c>
      <c r="J2" s="44" t="s">
        <v>51</v>
      </c>
    </row>
    <row r="3" spans="1:16" x14ac:dyDescent="0.2">
      <c r="A3" s="45" t="s">
        <v>52</v>
      </c>
      <c r="I3" s="43" t="s">
        <v>53</v>
      </c>
      <c r="J3" s="44" t="s">
        <v>54</v>
      </c>
    </row>
    <row r="4" spans="1:16" x14ac:dyDescent="0.2">
      <c r="I4" s="43" t="s">
        <v>55</v>
      </c>
      <c r="J4" s="44" t="s">
        <v>54</v>
      </c>
    </row>
    <row r="5" spans="1:16" ht="13.5" thickBot="1" x14ac:dyDescent="0.25">
      <c r="I5" s="46" t="s">
        <v>56</v>
      </c>
      <c r="J5" s="47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18" si="0">P11</f>
        <v>OEJV 0142 </v>
      </c>
      <c r="B11" s="3" t="str">
        <f t="shared" ref="B11:B18" si="1">IF(H11=INT(H11),"I","II")</f>
        <v>I</v>
      </c>
      <c r="C11" s="10">
        <f t="shared" ref="C11:C18" si="2">1*G11</f>
        <v>55839.599000000002</v>
      </c>
      <c r="D11" s="12" t="str">
        <f t="shared" ref="D11:D18" si="3">VLOOKUP(F11,I$1:J$5,2,FALSE)</f>
        <v>vis</v>
      </c>
      <c r="E11" s="48">
        <f>VLOOKUP(C11,A!C$21:E$970,3,FALSE)</f>
        <v>4391.9584790130648</v>
      </c>
      <c r="F11" s="3" t="s">
        <v>56</v>
      </c>
      <c r="G11" s="12" t="str">
        <f t="shared" ref="G11:G18" si="4">MID(I11,3,LEN(I11)-3)</f>
        <v>55839.599</v>
      </c>
      <c r="H11" s="10">
        <f t="shared" ref="H11:H18" si="5">1*K11</f>
        <v>4392</v>
      </c>
      <c r="I11" s="49" t="s">
        <v>58</v>
      </c>
      <c r="J11" s="50" t="s">
        <v>59</v>
      </c>
      <c r="K11" s="49">
        <v>4392</v>
      </c>
      <c r="L11" s="49" t="s">
        <v>60</v>
      </c>
      <c r="M11" s="50" t="s">
        <v>61</v>
      </c>
      <c r="N11" s="50" t="s">
        <v>56</v>
      </c>
      <c r="O11" s="51" t="s">
        <v>62</v>
      </c>
      <c r="P11" s="52" t="s">
        <v>63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55894.245860000003</v>
      </c>
      <c r="D12" s="12" t="str">
        <f t="shared" si="3"/>
        <v>vis</v>
      </c>
      <c r="E12" s="48">
        <f>VLOOKUP(C12,A!C$21:E$970,3,FALSE)</f>
        <v>4446.9563353320937</v>
      </c>
      <c r="F12" s="3" t="s">
        <v>56</v>
      </c>
      <c r="G12" s="12" t="str">
        <f t="shared" si="4"/>
        <v>55894.24586</v>
      </c>
      <c r="H12" s="10">
        <f t="shared" si="5"/>
        <v>4447</v>
      </c>
      <c r="I12" s="49" t="s">
        <v>64</v>
      </c>
      <c r="J12" s="50" t="s">
        <v>65</v>
      </c>
      <c r="K12" s="49">
        <v>4447</v>
      </c>
      <c r="L12" s="49" t="s">
        <v>66</v>
      </c>
      <c r="M12" s="50" t="s">
        <v>61</v>
      </c>
      <c r="N12" s="50" t="s">
        <v>48</v>
      </c>
      <c r="O12" s="51" t="s">
        <v>67</v>
      </c>
      <c r="P12" s="52" t="s">
        <v>68</v>
      </c>
    </row>
    <row r="13" spans="1:16" ht="12.75" customHeight="1" thickBot="1" x14ac:dyDescent="0.25">
      <c r="A13" s="10" t="str">
        <f t="shared" si="0"/>
        <v>IBVS 6063 </v>
      </c>
      <c r="B13" s="3" t="str">
        <f t="shared" si="1"/>
        <v>I</v>
      </c>
      <c r="C13" s="10">
        <f t="shared" si="2"/>
        <v>56297.652900000001</v>
      </c>
      <c r="D13" s="12" t="str">
        <f t="shared" si="3"/>
        <v>vis</v>
      </c>
      <c r="E13" s="48">
        <f>VLOOKUP(C13,A!C$21:E$970,3,FALSE)</f>
        <v>4852.9544553339438</v>
      </c>
      <c r="F13" s="3" t="s">
        <v>56</v>
      </c>
      <c r="G13" s="12" t="str">
        <f t="shared" si="4"/>
        <v>56297.6529</v>
      </c>
      <c r="H13" s="10">
        <f t="shared" si="5"/>
        <v>4853</v>
      </c>
      <c r="I13" s="49" t="s">
        <v>69</v>
      </c>
      <c r="J13" s="50" t="s">
        <v>70</v>
      </c>
      <c r="K13" s="49">
        <v>4853</v>
      </c>
      <c r="L13" s="49" t="s">
        <v>71</v>
      </c>
      <c r="M13" s="50" t="s">
        <v>61</v>
      </c>
      <c r="N13" s="50" t="s">
        <v>56</v>
      </c>
      <c r="O13" s="51" t="s">
        <v>72</v>
      </c>
      <c r="P13" s="52" t="s">
        <v>73</v>
      </c>
    </row>
    <row r="14" spans="1:16" ht="12.75" customHeight="1" thickBot="1" x14ac:dyDescent="0.25">
      <c r="A14" s="10" t="str">
        <f t="shared" si="0"/>
        <v>BAVM 232 </v>
      </c>
      <c r="B14" s="3" t="str">
        <f t="shared" si="1"/>
        <v>I</v>
      </c>
      <c r="C14" s="10">
        <f t="shared" si="2"/>
        <v>56338.373599999999</v>
      </c>
      <c r="D14" s="12" t="str">
        <f t="shared" si="3"/>
        <v>vis</v>
      </c>
      <c r="E14" s="48">
        <f>VLOOKUP(C14,A!C$21:E$970,3,FALSE)</f>
        <v>4893.9367040452171</v>
      </c>
      <c r="F14" s="3" t="s">
        <v>56</v>
      </c>
      <c r="G14" s="12" t="str">
        <f t="shared" si="4"/>
        <v>56338.3736</v>
      </c>
      <c r="H14" s="10">
        <f t="shared" si="5"/>
        <v>4894</v>
      </c>
      <c r="I14" s="49" t="s">
        <v>74</v>
      </c>
      <c r="J14" s="50" t="s">
        <v>75</v>
      </c>
      <c r="K14" s="49">
        <v>4894</v>
      </c>
      <c r="L14" s="49" t="s">
        <v>76</v>
      </c>
      <c r="M14" s="50" t="s">
        <v>61</v>
      </c>
      <c r="N14" s="50" t="s">
        <v>77</v>
      </c>
      <c r="O14" s="51" t="s">
        <v>78</v>
      </c>
      <c r="P14" s="52" t="s">
        <v>79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56351.312720000002</v>
      </c>
      <c r="D15" s="12" t="str">
        <f t="shared" si="3"/>
        <v>vis</v>
      </c>
      <c r="E15" s="48" t="e">
        <f>VLOOKUP(C15,A!C$21:E$970,3,FALSE)</f>
        <v>#N/A</v>
      </c>
      <c r="F15" s="3" t="s">
        <v>56</v>
      </c>
      <c r="G15" s="12" t="str">
        <f t="shared" si="4"/>
        <v>56351.31272</v>
      </c>
      <c r="H15" s="10">
        <f t="shared" si="5"/>
        <v>4907</v>
      </c>
      <c r="I15" s="49" t="s">
        <v>80</v>
      </c>
      <c r="J15" s="50" t="s">
        <v>81</v>
      </c>
      <c r="K15" s="49" t="s">
        <v>82</v>
      </c>
      <c r="L15" s="49" t="s">
        <v>83</v>
      </c>
      <c r="M15" s="50" t="s">
        <v>61</v>
      </c>
      <c r="N15" s="50" t="s">
        <v>48</v>
      </c>
      <c r="O15" s="51" t="s">
        <v>84</v>
      </c>
      <c r="P15" s="52" t="s">
        <v>68</v>
      </c>
    </row>
    <row r="16" spans="1:16" ht="12.75" customHeight="1" thickBot="1" x14ac:dyDescent="0.25">
      <c r="A16" s="10" t="str">
        <f t="shared" si="0"/>
        <v>OEJV 0160 </v>
      </c>
      <c r="B16" s="3" t="str">
        <f t="shared" si="1"/>
        <v>I</v>
      </c>
      <c r="C16" s="10">
        <f t="shared" si="2"/>
        <v>56354.298540000003</v>
      </c>
      <c r="D16" s="12" t="str">
        <f t="shared" si="3"/>
        <v>vis</v>
      </c>
      <c r="E16" s="48" t="e">
        <f>VLOOKUP(C16,A!C$21:E$970,3,FALSE)</f>
        <v>#N/A</v>
      </c>
      <c r="F16" s="3" t="s">
        <v>56</v>
      </c>
      <c r="G16" s="12" t="str">
        <f t="shared" si="4"/>
        <v>56354.29854</v>
      </c>
      <c r="H16" s="10">
        <f t="shared" si="5"/>
        <v>4910</v>
      </c>
      <c r="I16" s="49" t="s">
        <v>85</v>
      </c>
      <c r="J16" s="50" t="s">
        <v>86</v>
      </c>
      <c r="K16" s="49" t="s">
        <v>87</v>
      </c>
      <c r="L16" s="49" t="s">
        <v>88</v>
      </c>
      <c r="M16" s="50" t="s">
        <v>61</v>
      </c>
      <c r="N16" s="50" t="s">
        <v>48</v>
      </c>
      <c r="O16" s="51" t="s">
        <v>84</v>
      </c>
      <c r="P16" s="52" t="s">
        <v>68</v>
      </c>
    </row>
    <row r="17" spans="1:16" ht="12.75" customHeight="1" thickBot="1" x14ac:dyDescent="0.25">
      <c r="A17" s="10" t="str">
        <f t="shared" si="0"/>
        <v>OEJV 0160 </v>
      </c>
      <c r="B17" s="3" t="str">
        <f t="shared" si="1"/>
        <v>I</v>
      </c>
      <c r="C17" s="10">
        <f t="shared" si="2"/>
        <v>56357.275430000002</v>
      </c>
      <c r="D17" s="12" t="str">
        <f t="shared" si="3"/>
        <v>vis</v>
      </c>
      <c r="E17" s="48" t="e">
        <f>VLOOKUP(C17,A!C$21:E$970,3,FALSE)</f>
        <v>#N/A</v>
      </c>
      <c r="F17" s="3" t="s">
        <v>56</v>
      </c>
      <c r="G17" s="12" t="str">
        <f t="shared" si="4"/>
        <v>56357.27543</v>
      </c>
      <c r="H17" s="10">
        <f t="shared" si="5"/>
        <v>4913</v>
      </c>
      <c r="I17" s="49" t="s">
        <v>89</v>
      </c>
      <c r="J17" s="50" t="s">
        <v>90</v>
      </c>
      <c r="K17" s="49" t="s">
        <v>91</v>
      </c>
      <c r="L17" s="49" t="s">
        <v>92</v>
      </c>
      <c r="M17" s="50" t="s">
        <v>61</v>
      </c>
      <c r="N17" s="50" t="s">
        <v>48</v>
      </c>
      <c r="O17" s="51" t="s">
        <v>84</v>
      </c>
      <c r="P17" s="52" t="s">
        <v>68</v>
      </c>
    </row>
    <row r="18" spans="1:16" ht="12.75" customHeight="1" thickBot="1" x14ac:dyDescent="0.25">
      <c r="A18" s="10" t="str">
        <f t="shared" si="0"/>
        <v>BAVM 234 </v>
      </c>
      <c r="B18" s="3" t="str">
        <f t="shared" si="1"/>
        <v>I</v>
      </c>
      <c r="C18" s="10">
        <f t="shared" si="2"/>
        <v>56656.338600000003</v>
      </c>
      <c r="D18" s="12" t="str">
        <f t="shared" si="3"/>
        <v>vis</v>
      </c>
      <c r="E18" s="48">
        <f>VLOOKUP(C18,A!C$21:E$970,3,FALSE)</f>
        <v>5213.9439905476802</v>
      </c>
      <c r="F18" s="3" t="s">
        <v>56</v>
      </c>
      <c r="G18" s="12" t="str">
        <f t="shared" si="4"/>
        <v>56656.3386</v>
      </c>
      <c r="H18" s="10">
        <f t="shared" si="5"/>
        <v>5214</v>
      </c>
      <c r="I18" s="49" t="s">
        <v>93</v>
      </c>
      <c r="J18" s="50" t="s">
        <v>94</v>
      </c>
      <c r="K18" s="49" t="s">
        <v>95</v>
      </c>
      <c r="L18" s="49" t="s">
        <v>96</v>
      </c>
      <c r="M18" s="50" t="s">
        <v>61</v>
      </c>
      <c r="N18" s="50" t="s">
        <v>77</v>
      </c>
      <c r="O18" s="51" t="s">
        <v>78</v>
      </c>
      <c r="P18" s="52" t="s">
        <v>97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</sheetData>
  <phoneticPr fontId="8" type="noConversion"/>
  <hyperlinks>
    <hyperlink ref="A3" r:id="rId1"/>
    <hyperlink ref="P11" r:id="rId2" display="http://var.astro.cz/oejv/issues/oejv0142.pdf"/>
    <hyperlink ref="P12" r:id="rId3" display="http://var.astro.cz/oejv/issues/oejv0160.pdf"/>
    <hyperlink ref="P13" r:id="rId4" display="http://www.konkoly.hu/cgi-bin/IBVS?6063"/>
    <hyperlink ref="P14" r:id="rId5" display="http://www.bav-astro.de/sfs/BAVM_link.php?BAVMnr=232"/>
    <hyperlink ref="P15" r:id="rId6" display="http://var.astro.cz/oejv/issues/oejv0160.pdf"/>
    <hyperlink ref="P16" r:id="rId7" display="http://var.astro.cz/oejv/issues/oejv0160.pdf"/>
    <hyperlink ref="P17" r:id="rId8" display="http://var.astro.cz/oejv/issues/oejv0160.pdf"/>
    <hyperlink ref="P18" r:id="rId9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2024-01-13T05:02:21Z</dcterms:modified>
</cp:coreProperties>
</file>