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A26FBF2-3FD6-4DB7-972D-81F086FF56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63" i="1"/>
  <c r="F63" i="1"/>
  <c r="E55" i="1"/>
  <c r="F55" i="1"/>
  <c r="E57" i="1"/>
  <c r="F57" i="1"/>
  <c r="G57" i="1"/>
  <c r="I57" i="1"/>
  <c r="E60" i="1"/>
  <c r="F60" i="1"/>
  <c r="G11" i="1"/>
  <c r="F11" i="1"/>
  <c r="E22" i="1"/>
  <c r="F22" i="1"/>
  <c r="G22" i="1"/>
  <c r="H22" i="1"/>
  <c r="E23" i="1"/>
  <c r="F23" i="1"/>
  <c r="E25" i="1"/>
  <c r="F25" i="1"/>
  <c r="G25" i="1"/>
  <c r="I25" i="1"/>
  <c r="E26" i="1"/>
  <c r="F26" i="1"/>
  <c r="E27" i="1"/>
  <c r="F27" i="1"/>
  <c r="G27" i="1"/>
  <c r="E28" i="1"/>
  <c r="F28" i="1"/>
  <c r="G28" i="1"/>
  <c r="H28" i="1"/>
  <c r="E30" i="1"/>
  <c r="F30" i="1"/>
  <c r="G30" i="1"/>
  <c r="H30" i="1"/>
  <c r="E31" i="1"/>
  <c r="F31" i="1"/>
  <c r="E32" i="1"/>
  <c r="F32" i="1"/>
  <c r="G32" i="1"/>
  <c r="E33" i="1"/>
  <c r="F33" i="1"/>
  <c r="G33" i="1"/>
  <c r="H33" i="1"/>
  <c r="E34" i="1"/>
  <c r="F34" i="1"/>
  <c r="G34" i="1"/>
  <c r="H34" i="1"/>
  <c r="E35" i="1"/>
  <c r="F35" i="1"/>
  <c r="G35" i="1"/>
  <c r="E36" i="1"/>
  <c r="F36" i="1"/>
  <c r="G36" i="1"/>
  <c r="I36" i="1"/>
  <c r="E37" i="1"/>
  <c r="F37" i="1"/>
  <c r="G37" i="1"/>
  <c r="E38" i="1"/>
  <c r="F38" i="1"/>
  <c r="G38" i="1"/>
  <c r="I38" i="1"/>
  <c r="E39" i="1"/>
  <c r="F39" i="1"/>
  <c r="G39" i="1"/>
  <c r="I39" i="1"/>
  <c r="E40" i="1"/>
  <c r="F40" i="1"/>
  <c r="G40" i="1"/>
  <c r="E41" i="1"/>
  <c r="F41" i="1"/>
  <c r="G41" i="1"/>
  <c r="I41" i="1"/>
  <c r="E42" i="1"/>
  <c r="F42" i="1"/>
  <c r="G42" i="1"/>
  <c r="I42" i="1"/>
  <c r="E43" i="1"/>
  <c r="F43" i="1"/>
  <c r="G43" i="1"/>
  <c r="E44" i="1"/>
  <c r="F44" i="1"/>
  <c r="G44" i="1"/>
  <c r="I44" i="1"/>
  <c r="E45" i="1"/>
  <c r="F45" i="1"/>
  <c r="G45" i="1"/>
  <c r="E46" i="1"/>
  <c r="F46" i="1"/>
  <c r="G46" i="1"/>
  <c r="I46" i="1"/>
  <c r="E47" i="1"/>
  <c r="F47" i="1"/>
  <c r="G47" i="1"/>
  <c r="I47" i="1"/>
  <c r="E48" i="1"/>
  <c r="F48" i="1"/>
  <c r="G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E54" i="1"/>
  <c r="F54" i="1"/>
  <c r="G54" i="1"/>
  <c r="I54" i="1"/>
  <c r="Q63" i="1"/>
  <c r="Q62" i="1"/>
  <c r="Q22" i="1"/>
  <c r="Q23" i="1"/>
  <c r="Q24" i="1"/>
  <c r="Q25" i="1"/>
  <c r="Q26" i="1"/>
  <c r="H27" i="1"/>
  <c r="Q27" i="1"/>
  <c r="Q28" i="1"/>
  <c r="Q29" i="1"/>
  <c r="Q30" i="1"/>
  <c r="Q31" i="1"/>
  <c r="H32" i="1"/>
  <c r="Q32" i="1"/>
  <c r="Q33" i="1"/>
  <c r="Q34" i="1"/>
  <c r="H35" i="1"/>
  <c r="Q35" i="1"/>
  <c r="Q36" i="1"/>
  <c r="I37" i="1"/>
  <c r="Q37" i="1"/>
  <c r="Q38" i="1"/>
  <c r="Q39" i="1"/>
  <c r="I40" i="1"/>
  <c r="Q40" i="1"/>
  <c r="Q41" i="1"/>
  <c r="Q42" i="1"/>
  <c r="I43" i="1"/>
  <c r="Q43" i="1"/>
  <c r="Q44" i="1"/>
  <c r="I45" i="1"/>
  <c r="Q45" i="1"/>
  <c r="Q46" i="1"/>
  <c r="Q47" i="1"/>
  <c r="I48" i="1"/>
  <c r="Q48" i="1"/>
  <c r="Q64" i="1"/>
  <c r="G25" i="2"/>
  <c r="C25" i="2"/>
  <c r="E25" i="2"/>
  <c r="G26" i="2"/>
  <c r="C26" i="2"/>
  <c r="G27" i="2"/>
  <c r="C27" i="2"/>
  <c r="E27" i="2"/>
  <c r="G28" i="2"/>
  <c r="C28" i="2"/>
  <c r="E28" i="2"/>
  <c r="G29" i="2"/>
  <c r="C29" i="2"/>
  <c r="E29" i="2"/>
  <c r="G30" i="2"/>
  <c r="C30" i="2"/>
  <c r="E30" i="2"/>
  <c r="G31" i="2"/>
  <c r="C31" i="2"/>
  <c r="G32" i="2"/>
  <c r="C32" i="2"/>
  <c r="E32" i="2"/>
  <c r="G33" i="2"/>
  <c r="C33" i="2"/>
  <c r="E33" i="2"/>
  <c r="G34" i="2"/>
  <c r="C34" i="2"/>
  <c r="E34" i="2"/>
  <c r="G35" i="2"/>
  <c r="C35" i="2"/>
  <c r="E35" i="2"/>
  <c r="G36" i="2"/>
  <c r="C36" i="2"/>
  <c r="E36" i="2"/>
  <c r="G37" i="2"/>
  <c r="C37" i="2"/>
  <c r="E37" i="2"/>
  <c r="G38" i="2"/>
  <c r="C38" i="2"/>
  <c r="E38" i="2"/>
  <c r="G39" i="2"/>
  <c r="C39" i="2"/>
  <c r="E39" i="2"/>
  <c r="G40" i="2"/>
  <c r="C40" i="2"/>
  <c r="E40" i="2"/>
  <c r="G41" i="2"/>
  <c r="C41" i="2"/>
  <c r="E41" i="2"/>
  <c r="G42" i="2"/>
  <c r="C42" i="2"/>
  <c r="E42" i="2"/>
  <c r="G43" i="2"/>
  <c r="C43" i="2"/>
  <c r="E43" i="2"/>
  <c r="G44" i="2"/>
  <c r="C44" i="2"/>
  <c r="E44" i="2"/>
  <c r="G45" i="2"/>
  <c r="C45" i="2"/>
  <c r="E45" i="2"/>
  <c r="G46" i="2"/>
  <c r="C46" i="2"/>
  <c r="E46" i="2"/>
  <c r="G47" i="2"/>
  <c r="C47" i="2"/>
  <c r="E47" i="2"/>
  <c r="G48" i="2"/>
  <c r="C48" i="2"/>
  <c r="E48" i="2"/>
  <c r="G49" i="2"/>
  <c r="C49" i="2"/>
  <c r="E49" i="2"/>
  <c r="G50" i="2"/>
  <c r="C50" i="2"/>
  <c r="E50" i="2"/>
  <c r="G11" i="2"/>
  <c r="C11" i="2"/>
  <c r="E11" i="2"/>
  <c r="G12" i="2"/>
  <c r="C12" i="2"/>
  <c r="E12" i="2"/>
  <c r="G13" i="2"/>
  <c r="C13" i="2"/>
  <c r="E13" i="2"/>
  <c r="G14" i="2"/>
  <c r="C14" i="2"/>
  <c r="E14" i="2"/>
  <c r="G15" i="2"/>
  <c r="C15" i="2"/>
  <c r="E15" i="2"/>
  <c r="G16" i="2"/>
  <c r="C16" i="2"/>
  <c r="E16" i="2"/>
  <c r="G17" i="2"/>
  <c r="C17" i="2"/>
  <c r="E17" i="2"/>
  <c r="G18" i="2"/>
  <c r="C18" i="2"/>
  <c r="G19" i="2"/>
  <c r="C19" i="2"/>
  <c r="E19" i="2"/>
  <c r="G20" i="2"/>
  <c r="C20" i="2"/>
  <c r="G21" i="2"/>
  <c r="C21" i="2"/>
  <c r="G22" i="2"/>
  <c r="C22" i="2"/>
  <c r="E22" i="2"/>
  <c r="G23" i="2"/>
  <c r="C23" i="2"/>
  <c r="G51" i="2"/>
  <c r="C51" i="2"/>
  <c r="E51" i="2"/>
  <c r="G52" i="2"/>
  <c r="C52" i="2"/>
  <c r="E52" i="2"/>
  <c r="G53" i="2"/>
  <c r="C53" i="2"/>
  <c r="G24" i="2"/>
  <c r="C24" i="2"/>
  <c r="E24" i="2"/>
  <c r="H53" i="2"/>
  <c r="B53" i="2"/>
  <c r="D53" i="2"/>
  <c r="A53" i="2"/>
  <c r="H52" i="2"/>
  <c r="B52" i="2"/>
  <c r="D52" i="2"/>
  <c r="A52" i="2"/>
  <c r="H51" i="2"/>
  <c r="B51" i="2"/>
  <c r="D51" i="2"/>
  <c r="A5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E14" i="1"/>
  <c r="Q61" i="1"/>
  <c r="C17" i="1"/>
  <c r="Q49" i="1"/>
  <c r="Q50" i="1"/>
  <c r="Q51" i="1"/>
  <c r="Q52" i="1"/>
  <c r="I53" i="1"/>
  <c r="Q53" i="1"/>
  <c r="Q54" i="1"/>
  <c r="Q55" i="1"/>
  <c r="Q56" i="1"/>
  <c r="Q57" i="1"/>
  <c r="Q58" i="1"/>
  <c r="Q59" i="1"/>
  <c r="Q60" i="1"/>
  <c r="Q21" i="1"/>
  <c r="E20" i="2"/>
  <c r="E18" i="2"/>
  <c r="E31" i="2"/>
  <c r="E64" i="1"/>
  <c r="F64" i="1"/>
  <c r="G64" i="1"/>
  <c r="I64" i="1"/>
  <c r="G56" i="1"/>
  <c r="I56" i="1"/>
  <c r="E62" i="1"/>
  <c r="F62" i="1"/>
  <c r="G62" i="1"/>
  <c r="K62" i="1"/>
  <c r="E59" i="1"/>
  <c r="F59" i="1"/>
  <c r="G59" i="1"/>
  <c r="I59" i="1"/>
  <c r="G26" i="1"/>
  <c r="I26" i="1"/>
  <c r="E24" i="1"/>
  <c r="F24" i="1"/>
  <c r="G24" i="1"/>
  <c r="H24" i="1"/>
  <c r="E56" i="1"/>
  <c r="F56" i="1"/>
  <c r="G63" i="1"/>
  <c r="K63" i="1"/>
  <c r="G31" i="1"/>
  <c r="H31" i="1"/>
  <c r="E29" i="1"/>
  <c r="F29" i="1"/>
  <c r="G29" i="1"/>
  <c r="H29" i="1"/>
  <c r="G23" i="1"/>
  <c r="H23" i="1"/>
  <c r="E21" i="1"/>
  <c r="F21" i="1"/>
  <c r="G21" i="1"/>
  <c r="E61" i="1"/>
  <c r="F61" i="1"/>
  <c r="G61" i="1"/>
  <c r="I61" i="1"/>
  <c r="G55" i="1"/>
  <c r="I55" i="1"/>
  <c r="G60" i="1"/>
  <c r="I60" i="1"/>
  <c r="E58" i="1"/>
  <c r="F58" i="1"/>
  <c r="G58" i="1"/>
  <c r="I58" i="1"/>
  <c r="E26" i="2"/>
  <c r="E21" i="2"/>
  <c r="H21" i="1"/>
  <c r="E53" i="2"/>
  <c r="E23" i="2"/>
  <c r="C11" i="1"/>
  <c r="C12" i="1"/>
  <c r="C16" i="1" l="1"/>
  <c r="D18" i="1" s="1"/>
  <c r="C15" i="1"/>
  <c r="O28" i="1"/>
  <c r="O47" i="1"/>
  <c r="O45" i="1"/>
  <c r="O55" i="1"/>
  <c r="O52" i="1"/>
  <c r="O51" i="1"/>
  <c r="O36" i="1"/>
  <c r="O49" i="1"/>
  <c r="O24" i="1"/>
  <c r="O27" i="1"/>
  <c r="O33" i="1"/>
  <c r="O40" i="1"/>
  <c r="O43" i="1"/>
  <c r="O22" i="1"/>
  <c r="O42" i="1"/>
  <c r="O48" i="1"/>
  <c r="O64" i="1"/>
  <c r="O31" i="1"/>
  <c r="O39" i="1"/>
  <c r="O54" i="1"/>
  <c r="O57" i="1"/>
  <c r="O30" i="1"/>
  <c r="O53" i="1"/>
  <c r="O38" i="1"/>
  <c r="O56" i="1"/>
  <c r="O63" i="1"/>
  <c r="O59" i="1"/>
  <c r="O25" i="1"/>
  <c r="O44" i="1"/>
  <c r="O26" i="1"/>
  <c r="O32" i="1"/>
  <c r="O35" i="1"/>
  <c r="O50" i="1"/>
  <c r="O29" i="1"/>
  <c r="O46" i="1"/>
  <c r="O21" i="1"/>
  <c r="O34" i="1"/>
  <c r="O23" i="1"/>
  <c r="O58" i="1"/>
  <c r="O37" i="1"/>
  <c r="O41" i="1"/>
  <c r="O61" i="1"/>
  <c r="O62" i="1"/>
  <c r="O60" i="1"/>
  <c r="E15" i="1"/>
  <c r="E16" i="1" l="1"/>
  <c r="E17" i="1" s="1"/>
  <c r="C18" i="1"/>
</calcChain>
</file>

<file path=xl/sharedStrings.xml><?xml version="1.0" encoding="utf-8"?>
<sst xmlns="http://schemas.openxmlformats.org/spreadsheetml/2006/main" count="497" uniqueCount="231">
  <si>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</si>
  <si>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</si>
  <si>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</si>
  <si>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</si>
  <si>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</si>
  <si>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</si>
  <si>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</si>
  <si>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</si>
  <si>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</si>
  <si>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</si>
  <si>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</si>
  <si>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</si>
  <si>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</si>
  <si>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</si>
  <si>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</si>
  <si>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</si>
  <si>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</si>
  <si>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</si>
  <si>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</si>
  <si>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</si>
  <si>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</si>
  <si>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</si>
  <si>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</si>
  <si>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</si>
  <si>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</si>
  <si>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</si>
  <si>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</si>
  <si>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pg</t>
  </si>
  <si>
    <t>MVS 2,122</t>
  </si>
  <si>
    <t>K</t>
  </si>
  <si>
    <t>v</t>
  </si>
  <si>
    <t>Locher K</t>
  </si>
  <si>
    <t>BBSAG Bull.12</t>
  </si>
  <si>
    <t>B</t>
  </si>
  <si>
    <t>BBSAG Bull.21</t>
  </si>
  <si>
    <t>BBSAG Bull.23</t>
  </si>
  <si>
    <t>BBSAG Bull.38</t>
  </si>
  <si>
    <t>BBSAG Bull.49</t>
  </si>
  <si>
    <t>Stoikidis N</t>
  </si>
  <si>
    <t>BBSAG Bull.57</t>
  </si>
  <si>
    <t>BBSAG Bull.67</t>
  </si>
  <si>
    <t>BBSAG Bull.70</t>
  </si>
  <si>
    <t>BBSAG Bull.75</t>
  </si>
  <si>
    <t>Is this period correct?</t>
  </si>
  <si>
    <t># of data points:</t>
  </si>
  <si>
    <t>RS Ari / GSC 01776-00187</t>
  </si>
  <si>
    <t>EA/DS</t>
  </si>
  <si>
    <t>2013JAVSO..41..122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</si>
  <si>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</si>
  <si>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</si>
  <si>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</si>
  <si>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</si>
  <si>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</si>
  <si>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</si>
  <si>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</si>
  <si>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</si>
  <si>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</si>
  <si>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Local time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</si>
  <si>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</si>
  <si>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</si>
  <si>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</si>
  <si>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</si>
  <si>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</si>
  <si>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</si>
  <si>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</si>
  <si>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</si>
  <si>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</si>
  <si>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</si>
  <si>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</si>
  <si>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2424020.355 </t>
  </si>
  <si>
    <t> 22.08.1924 20:31 </t>
  </si>
  <si>
    <t> -0.102 </t>
  </si>
  <si>
    <t>V </t>
  </si>
  <si>
    <t> W.Zessewitsch </t>
  </si>
  <si>
    <t> IODE 4.1.95 </t>
  </si>
  <si>
    <t>2424557.346 </t>
  </si>
  <si>
    <t> 10.02.1926 20:18 </t>
  </si>
  <si>
    <t> -0.103 </t>
  </si>
  <si>
    <t>2425622.56 </t>
  </si>
  <si>
    <t> 11.01.1929 01:26 </t>
  </si>
  <si>
    <t> -0.07 </t>
  </si>
  <si>
    <t> E.J.Woodward </t>
  </si>
  <si>
    <t> HB 917.7 </t>
  </si>
  <si>
    <t>2426652.463 </t>
  </si>
  <si>
    <t> 06.11.1931 23:06 </t>
  </si>
  <si>
    <t> -0.135 </t>
  </si>
  <si>
    <t>P </t>
  </si>
  <si>
    <t> E.Starick </t>
  </si>
  <si>
    <t> MVS 365 </t>
  </si>
  <si>
    <t>2426661.430 </t>
  </si>
  <si>
    <t> 15.11.1931 22:19 </t>
  </si>
  <si>
    <t> 0.028 </t>
  </si>
  <si>
    <t>2427744.120 </t>
  </si>
  <si>
    <t> 02.11.1934 14:52 </t>
  </si>
  <si>
    <t> -0.069 </t>
  </si>
  <si>
    <t> F.Lause </t>
  </si>
  <si>
    <t> AN 277.40 </t>
  </si>
  <si>
    <t>2428131.502 </t>
  </si>
  <si>
    <t> 25.11.1935 00:02 </t>
  </si>
  <si>
    <t> -0.026 </t>
  </si>
  <si>
    <t> K.Himpel </t>
  </si>
  <si>
    <t> AN 261.255 </t>
  </si>
  <si>
    <t>2428457.178 </t>
  </si>
  <si>
    <t> 15.10.1936 16:16 </t>
  </si>
  <si>
    <t> -0.066 </t>
  </si>
  <si>
    <t>2428492.412 </t>
  </si>
  <si>
    <t> 19.11.1936 21:53 </t>
  </si>
  <si>
    <t> -0.045 </t>
  </si>
  <si>
    <t>2428844.518 </t>
  </si>
  <si>
    <t> 07.11.1937 00:25 </t>
  </si>
  <si>
    <t> -0.065 </t>
  </si>
  <si>
    <t>2428888.535 </t>
  </si>
  <si>
    <t> 21.12.1937 00:50 </t>
  </si>
  <si>
    <t> -0.064 </t>
  </si>
  <si>
    <t>2428897.345 </t>
  </si>
  <si>
    <t> 29.12.1937 20:16 </t>
  </si>
  <si>
    <t> -0.057 </t>
  </si>
  <si>
    <t>2428950.175 </t>
  </si>
  <si>
    <t> 20.02.1938 16:12 </t>
  </si>
  <si>
    <t> -0.046 </t>
  </si>
  <si>
    <t>2429117.415 </t>
  </si>
  <si>
    <t> 06.08.1938 21:57 </t>
  </si>
  <si>
    <t>2430367.294 </t>
  </si>
  <si>
    <t> 07.01.1942 19:03 </t>
  </si>
  <si>
    <t> -0.234 </t>
  </si>
  <si>
    <t>2430376.384 </t>
  </si>
  <si>
    <t> 16.01.1942 21:12 </t>
  </si>
  <si>
    <t> 0.053 </t>
  </si>
  <si>
    <t>2430948.485 </t>
  </si>
  <si>
    <t> 11.08.1943 23:38 </t>
  </si>
  <si>
    <t> -0.051 </t>
  </si>
  <si>
    <t>2432119.442 </t>
  </si>
  <si>
    <t> 25.10.1946 22:36 </t>
  </si>
  <si>
    <t> 0.087 </t>
  </si>
  <si>
    <t>2432471.473 </t>
  </si>
  <si>
    <t> 12.10.1947 23:21 </t>
  </si>
  <si>
    <t> -0.008 </t>
  </si>
  <si>
    <t>2433888.516 </t>
  </si>
  <si>
    <t> 30.08.1951 00:23 </t>
  </si>
  <si>
    <t> -0.272 </t>
  </si>
  <si>
    <t>2433950.410 </t>
  </si>
  <si>
    <t> 30.10.1951 21:50 </t>
  </si>
  <si>
    <t> 0.000 </t>
  </si>
  <si>
    <t>2434249.530 </t>
  </si>
  <si>
    <t> 25.08.1952 00:43 </t>
  </si>
  <si>
    <t> -0.187 </t>
  </si>
  <si>
    <t>2434443.294 </t>
  </si>
  <si>
    <t> 06.03.1953 19:03 </t>
  </si>
  <si>
    <t> -0.092 </t>
  </si>
  <si>
    <t>2434654.499 </t>
  </si>
  <si>
    <t> 03.10.1953 23:58 </t>
  </si>
  <si>
    <t> -0.163 </t>
  </si>
  <si>
    <t>2435068.383 </t>
  </si>
  <si>
    <t> 21.11.1954 21:11 </t>
  </si>
  <si>
    <t> -0.027 </t>
  </si>
  <si>
    <t>2435341.278 </t>
  </si>
  <si>
    <t> 21.08.1955 18:40 </t>
  </si>
  <si>
    <t> -0.029 </t>
  </si>
  <si>
    <t> K.Kordylewski </t>
  </si>
  <si>
    <t> SAC 29.106 </t>
  </si>
  <si>
    <t>2435781.433 </t>
  </si>
  <si>
    <t> 03.11.1956 22:23 </t>
  </si>
  <si>
    <t> -0.032 </t>
  </si>
  <si>
    <t> H.Huth </t>
  </si>
  <si>
    <t> MVS 2.122 </t>
  </si>
  <si>
    <t>2437207.555 </t>
  </si>
  <si>
    <t> 30.09.1960 01:19 </t>
  </si>
  <si>
    <t> -0.020 </t>
  </si>
  <si>
    <t>2437348.273 </t>
  </si>
  <si>
    <t> 17.02.1961 18:33 </t>
  </si>
  <si>
    <t> -0.153 </t>
  </si>
  <si>
    <t>2437559.537 </t>
  </si>
  <si>
    <t> 17.09.1961 00:53 </t>
  </si>
  <si>
    <t> -0.164 </t>
  </si>
  <si>
    <t>2442005.320 </t>
  </si>
  <si>
    <t> 18.11.1973 19:40 </t>
  </si>
  <si>
    <t> K.Locher </t>
  </si>
  <si>
    <t> BBS 12 </t>
  </si>
  <si>
    <t>2442454.285 </t>
  </si>
  <si>
    <t> 10.02.1975 18:50 </t>
  </si>
  <si>
    <t> 0.032 </t>
  </si>
  <si>
    <t> BBS 21 </t>
  </si>
  <si>
    <t>2442621.513 </t>
  </si>
  <si>
    <t> 28.07.1975 00:18 </t>
  </si>
  <si>
    <t> BBS 23 </t>
  </si>
  <si>
    <t>2443739.527 </t>
  </si>
  <si>
    <t> 19.08.1978 00:38 </t>
  </si>
  <si>
    <t> 0.014 </t>
  </si>
  <si>
    <t> BBS 38 </t>
  </si>
  <si>
    <t>2444452.596 </t>
  </si>
  <si>
    <t> 01.08.1980 02:18 </t>
  </si>
  <si>
    <t> BBS 49 </t>
  </si>
  <si>
    <t>2444910.349 </t>
  </si>
  <si>
    <t> 01.11.1981 20:22 </t>
  </si>
  <si>
    <t> 0.017 </t>
  </si>
  <si>
    <t> N.Stoikidis </t>
  </si>
  <si>
    <t> BBS 57 </t>
  </si>
  <si>
    <t>2445526.523 </t>
  </si>
  <si>
    <t> 11.07.1983 00:33 </t>
  </si>
  <si>
    <t> BBS 67 </t>
  </si>
  <si>
    <t>2445711.407 </t>
  </si>
  <si>
    <t> 11.01.1984 21:46 </t>
  </si>
  <si>
    <t> -0.011 </t>
  </si>
  <si>
    <t> BBS 70 </t>
  </si>
  <si>
    <t>2446072.270 </t>
  </si>
  <si>
    <t> 06.01.1985 18:28 </t>
  </si>
  <si>
    <t> -0.077 </t>
  </si>
  <si>
    <t> BBS 75 </t>
  </si>
  <si>
    <t>2450438.678 </t>
  </si>
  <si>
    <t> 21.12.1996 04:16 </t>
  </si>
  <si>
    <t> S.Cook </t>
  </si>
  <si>
    <t> JAAVSO 41;122 </t>
  </si>
  <si>
    <t>2452648.29 </t>
  </si>
  <si>
    <t> 08.01.2003 18:57 </t>
  </si>
  <si>
    <t> -0.01 </t>
  </si>
  <si>
    <t> R.Meyer </t>
  </si>
  <si>
    <t>BAVM 171 </t>
  </si>
  <si>
    <t>2453968.746 </t>
  </si>
  <si>
    <t> 21.08.2006 05:54 </t>
  </si>
  <si>
    <t>BAVM 192 </t>
  </si>
  <si>
    <t>2454831.4846 </t>
  </si>
  <si>
    <t> 30.12.2008 23:37 </t>
  </si>
  <si>
    <t> 0.0030 </t>
  </si>
  <si>
    <t>C </t>
  </si>
  <si>
    <t>-I</t>
  </si>
  <si>
    <t> P.Frank </t>
  </si>
  <si>
    <t>BAVM 203 </t>
  </si>
  <si>
    <t>s5</t>
  </si>
  <si>
    <t>s6</t>
  </si>
  <si>
    <t>s7</t>
  </si>
  <si>
    <t>VSX says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</si>
</sst>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7" fillId="0" borderId="0" xfId="42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Ari - O-C Diagr.</a:t>
            </a:r>
          </a:p>
        </c:rich>
      </c:tx>
      <c:layout>
        <c:manualLayout>
          <c:xMode val="edge"/>
          <c:yMode val="edge"/>
          <c:x val="0.3773588507268495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1298804086826"/>
          <c:y val="0.14860681114551083"/>
          <c:w val="0.8044603650135722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182</c:v>
                </c:pt>
                <c:pt idx="4">
                  <c:v>299</c:v>
                </c:pt>
                <c:pt idx="5">
                  <c:v>300</c:v>
                </c:pt>
                <c:pt idx="6">
                  <c:v>423</c:v>
                </c:pt>
                <c:pt idx="7">
                  <c:v>467</c:v>
                </c:pt>
                <c:pt idx="8">
                  <c:v>504</c:v>
                </c:pt>
                <c:pt idx="9">
                  <c:v>508</c:v>
                </c:pt>
                <c:pt idx="10">
                  <c:v>548</c:v>
                </c:pt>
                <c:pt idx="11">
                  <c:v>553</c:v>
                </c:pt>
                <c:pt idx="12">
                  <c:v>554</c:v>
                </c:pt>
                <c:pt idx="13">
                  <c:v>560</c:v>
                </c:pt>
                <c:pt idx="14">
                  <c:v>579</c:v>
                </c:pt>
                <c:pt idx="15">
                  <c:v>721</c:v>
                </c:pt>
                <c:pt idx="16">
                  <c:v>722</c:v>
                </c:pt>
                <c:pt idx="17">
                  <c:v>787</c:v>
                </c:pt>
                <c:pt idx="18">
                  <c:v>920</c:v>
                </c:pt>
                <c:pt idx="19">
                  <c:v>960</c:v>
                </c:pt>
                <c:pt idx="20">
                  <c:v>1121</c:v>
                </c:pt>
                <c:pt idx="21">
                  <c:v>1128</c:v>
                </c:pt>
                <c:pt idx="22">
                  <c:v>1162</c:v>
                </c:pt>
                <c:pt idx="23">
                  <c:v>1184</c:v>
                </c:pt>
                <c:pt idx="24">
                  <c:v>1208</c:v>
                </c:pt>
                <c:pt idx="25">
                  <c:v>1255</c:v>
                </c:pt>
                <c:pt idx="26">
                  <c:v>1286</c:v>
                </c:pt>
                <c:pt idx="27">
                  <c:v>1336</c:v>
                </c:pt>
                <c:pt idx="28">
                  <c:v>1498</c:v>
                </c:pt>
                <c:pt idx="29">
                  <c:v>1514</c:v>
                </c:pt>
                <c:pt idx="30">
                  <c:v>1538</c:v>
                </c:pt>
                <c:pt idx="31">
                  <c:v>2043</c:v>
                </c:pt>
                <c:pt idx="32">
                  <c:v>2094</c:v>
                </c:pt>
                <c:pt idx="33">
                  <c:v>2113</c:v>
                </c:pt>
                <c:pt idx="34">
                  <c:v>2240</c:v>
                </c:pt>
                <c:pt idx="35">
                  <c:v>2321</c:v>
                </c:pt>
                <c:pt idx="36">
                  <c:v>2373</c:v>
                </c:pt>
                <c:pt idx="37">
                  <c:v>2443</c:v>
                </c:pt>
                <c:pt idx="38">
                  <c:v>2464</c:v>
                </c:pt>
                <c:pt idx="39">
                  <c:v>2505</c:v>
                </c:pt>
                <c:pt idx="40">
                  <c:v>3001</c:v>
                </c:pt>
                <c:pt idx="41">
                  <c:v>3318</c:v>
                </c:pt>
                <c:pt idx="42">
                  <c:v>3412</c:v>
                </c:pt>
                <c:pt idx="43">
                  <c:v>3500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2.0000000004074536E-3</c:v>
                </c:pt>
                <c:pt idx="2">
                  <c:v>-2.5049999967450276E-3</c:v>
                </c:pt>
                <c:pt idx="3">
                  <c:v>2.3690000001806766E-2</c:v>
                </c:pt>
                <c:pt idx="6">
                  <c:v>1.1285000000498258E-2</c:v>
                </c:pt>
                <c:pt idx="7">
                  <c:v>5.2265000002080342E-2</c:v>
                </c:pt>
                <c:pt idx="8">
                  <c:v>9.6800000028451905E-3</c:v>
                </c:pt>
                <c:pt idx="9">
                  <c:v>3.0860000002576271E-2</c:v>
                </c:pt>
                <c:pt idx="10">
                  <c:v>8.6599999995087273E-3</c:v>
                </c:pt>
                <c:pt idx="11">
                  <c:v>9.6349999985250179E-3</c:v>
                </c:pt>
                <c:pt idx="12">
                  <c:v>1.6430000003310852E-2</c:v>
                </c:pt>
                <c:pt idx="13">
                  <c:v>2.7200000000448199E-2</c:v>
                </c:pt>
                <c:pt idx="14">
                  <c:v>6.3050000026123598E-3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2-4A47-A4F6-6BBD10AD4A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182</c:v>
                </c:pt>
                <c:pt idx="4">
                  <c:v>299</c:v>
                </c:pt>
                <c:pt idx="5">
                  <c:v>300</c:v>
                </c:pt>
                <c:pt idx="6">
                  <c:v>423</c:v>
                </c:pt>
                <c:pt idx="7">
                  <c:v>467</c:v>
                </c:pt>
                <c:pt idx="8">
                  <c:v>504</c:v>
                </c:pt>
                <c:pt idx="9">
                  <c:v>508</c:v>
                </c:pt>
                <c:pt idx="10">
                  <c:v>548</c:v>
                </c:pt>
                <c:pt idx="11">
                  <c:v>553</c:v>
                </c:pt>
                <c:pt idx="12">
                  <c:v>554</c:v>
                </c:pt>
                <c:pt idx="13">
                  <c:v>560</c:v>
                </c:pt>
                <c:pt idx="14">
                  <c:v>579</c:v>
                </c:pt>
                <c:pt idx="15">
                  <c:v>721</c:v>
                </c:pt>
                <c:pt idx="16">
                  <c:v>722</c:v>
                </c:pt>
                <c:pt idx="17">
                  <c:v>787</c:v>
                </c:pt>
                <c:pt idx="18">
                  <c:v>920</c:v>
                </c:pt>
                <c:pt idx="19">
                  <c:v>960</c:v>
                </c:pt>
                <c:pt idx="20">
                  <c:v>1121</c:v>
                </c:pt>
                <c:pt idx="21">
                  <c:v>1128</c:v>
                </c:pt>
                <c:pt idx="22">
                  <c:v>1162</c:v>
                </c:pt>
                <c:pt idx="23">
                  <c:v>1184</c:v>
                </c:pt>
                <c:pt idx="24">
                  <c:v>1208</c:v>
                </c:pt>
                <c:pt idx="25">
                  <c:v>1255</c:v>
                </c:pt>
                <c:pt idx="26">
                  <c:v>1286</c:v>
                </c:pt>
                <c:pt idx="27">
                  <c:v>1336</c:v>
                </c:pt>
                <c:pt idx="28">
                  <c:v>1498</c:v>
                </c:pt>
                <c:pt idx="29">
                  <c:v>1514</c:v>
                </c:pt>
                <c:pt idx="30">
                  <c:v>1538</c:v>
                </c:pt>
                <c:pt idx="31">
                  <c:v>2043</c:v>
                </c:pt>
                <c:pt idx="32">
                  <c:v>2094</c:v>
                </c:pt>
                <c:pt idx="33">
                  <c:v>2113</c:v>
                </c:pt>
                <c:pt idx="34">
                  <c:v>2240</c:v>
                </c:pt>
                <c:pt idx="35">
                  <c:v>2321</c:v>
                </c:pt>
                <c:pt idx="36">
                  <c:v>2373</c:v>
                </c:pt>
                <c:pt idx="37">
                  <c:v>2443</c:v>
                </c:pt>
                <c:pt idx="38">
                  <c:v>2464</c:v>
                </c:pt>
                <c:pt idx="39">
                  <c:v>2505</c:v>
                </c:pt>
                <c:pt idx="40">
                  <c:v>3001</c:v>
                </c:pt>
                <c:pt idx="41">
                  <c:v>3318</c:v>
                </c:pt>
                <c:pt idx="42">
                  <c:v>3412</c:v>
                </c:pt>
                <c:pt idx="43">
                  <c:v>3500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">
                  <c:v>-4.8295000000507571E-2</c:v>
                </c:pt>
                <c:pt idx="5">
                  <c:v>0.11549999999988358</c:v>
                </c:pt>
                <c:pt idx="15">
                  <c:v>-0.16980499999772292</c:v>
                </c:pt>
                <c:pt idx="16">
                  <c:v>0.11698999999862281</c:v>
                </c:pt>
                <c:pt idx="17">
                  <c:v>9.6650000014051329E-3</c:v>
                </c:pt>
                <c:pt idx="18">
                  <c:v>0.14040000000022701</c:v>
                </c:pt>
                <c:pt idx="19">
                  <c:v>4.3200000003707828E-2</c:v>
                </c:pt>
                <c:pt idx="20">
                  <c:v>-0.22980499999539461</c:v>
                </c:pt>
                <c:pt idx="21">
                  <c:v>4.1760000007343479E-2</c:v>
                </c:pt>
                <c:pt idx="22">
                  <c:v>-0.14721000000281492</c:v>
                </c:pt>
                <c:pt idx="23">
                  <c:v>-5.371999999624677E-2</c:v>
                </c:pt>
                <c:pt idx="24">
                  <c:v>-0.12563999999838416</c:v>
                </c:pt>
                <c:pt idx="25">
                  <c:v>7.7250000031199306E-3</c:v>
                </c:pt>
                <c:pt idx="26">
                  <c:v>3.3699999985401519E-3</c:v>
                </c:pt>
                <c:pt idx="27">
                  <c:v>-1.8800000034389086E-3</c:v>
                </c:pt>
                <c:pt idx="28">
                  <c:v>9.1000000247731805E-4</c:v>
                </c:pt>
                <c:pt idx="29">
                  <c:v>-0.13236999999935506</c:v>
                </c:pt>
                <c:pt idx="30">
                  <c:v>-0.1452900000003865</c:v>
                </c:pt>
                <c:pt idx="31">
                  <c:v>1.9185000004654285E-2</c:v>
                </c:pt>
                <c:pt idx="32">
                  <c:v>2.0730000003823079E-2</c:v>
                </c:pt>
                <c:pt idx="33">
                  <c:v>-1.2165000000095461E-2</c:v>
                </c:pt>
                <c:pt idx="34">
                  <c:v>-5.1999999996041879E-3</c:v>
                </c:pt>
                <c:pt idx="35">
                  <c:v>4.1949999940698035E-3</c:v>
                </c:pt>
                <c:pt idx="36">
                  <c:v>-9.4649999955436215E-3</c:v>
                </c:pt>
                <c:pt idx="37">
                  <c:v>-5.9815000000526197E-2</c:v>
                </c:pt>
                <c:pt idx="38">
                  <c:v>-4.3120000002090819E-2</c:v>
                </c:pt>
                <c:pt idx="39">
                  <c:v>-0.11152500000753207</c:v>
                </c:pt>
                <c:pt idx="40">
                  <c:v>-9.3204999997396953E-2</c:v>
                </c:pt>
                <c:pt idx="43">
                  <c:v>-8.5899999998218846E-2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2-4A47-A4F6-6BBD10AD4A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182</c:v>
                </c:pt>
                <c:pt idx="4">
                  <c:v>299</c:v>
                </c:pt>
                <c:pt idx="5">
                  <c:v>300</c:v>
                </c:pt>
                <c:pt idx="6">
                  <c:v>423</c:v>
                </c:pt>
                <c:pt idx="7">
                  <c:v>467</c:v>
                </c:pt>
                <c:pt idx="8">
                  <c:v>504</c:v>
                </c:pt>
                <c:pt idx="9">
                  <c:v>508</c:v>
                </c:pt>
                <c:pt idx="10">
                  <c:v>548</c:v>
                </c:pt>
                <c:pt idx="11">
                  <c:v>553</c:v>
                </c:pt>
                <c:pt idx="12">
                  <c:v>554</c:v>
                </c:pt>
                <c:pt idx="13">
                  <c:v>560</c:v>
                </c:pt>
                <c:pt idx="14">
                  <c:v>579</c:v>
                </c:pt>
                <c:pt idx="15">
                  <c:v>721</c:v>
                </c:pt>
                <c:pt idx="16">
                  <c:v>722</c:v>
                </c:pt>
                <c:pt idx="17">
                  <c:v>787</c:v>
                </c:pt>
                <c:pt idx="18">
                  <c:v>920</c:v>
                </c:pt>
                <c:pt idx="19">
                  <c:v>960</c:v>
                </c:pt>
                <c:pt idx="20">
                  <c:v>1121</c:v>
                </c:pt>
                <c:pt idx="21">
                  <c:v>1128</c:v>
                </c:pt>
                <c:pt idx="22">
                  <c:v>1162</c:v>
                </c:pt>
                <c:pt idx="23">
                  <c:v>1184</c:v>
                </c:pt>
                <c:pt idx="24">
                  <c:v>1208</c:v>
                </c:pt>
                <c:pt idx="25">
                  <c:v>1255</c:v>
                </c:pt>
                <c:pt idx="26">
                  <c:v>1286</c:v>
                </c:pt>
                <c:pt idx="27">
                  <c:v>1336</c:v>
                </c:pt>
                <c:pt idx="28">
                  <c:v>1498</c:v>
                </c:pt>
                <c:pt idx="29">
                  <c:v>1514</c:v>
                </c:pt>
                <c:pt idx="30">
                  <c:v>1538</c:v>
                </c:pt>
                <c:pt idx="31">
                  <c:v>2043</c:v>
                </c:pt>
                <c:pt idx="32">
                  <c:v>2094</c:v>
                </c:pt>
                <c:pt idx="33">
                  <c:v>2113</c:v>
                </c:pt>
                <c:pt idx="34">
                  <c:v>2240</c:v>
                </c:pt>
                <c:pt idx="35">
                  <c:v>2321</c:v>
                </c:pt>
                <c:pt idx="36">
                  <c:v>2373</c:v>
                </c:pt>
                <c:pt idx="37">
                  <c:v>2443</c:v>
                </c:pt>
                <c:pt idx="38">
                  <c:v>2464</c:v>
                </c:pt>
                <c:pt idx="39">
                  <c:v>2505</c:v>
                </c:pt>
                <c:pt idx="40">
                  <c:v>3001</c:v>
                </c:pt>
                <c:pt idx="41">
                  <c:v>3318</c:v>
                </c:pt>
                <c:pt idx="42">
                  <c:v>3412</c:v>
                </c:pt>
                <c:pt idx="43">
                  <c:v>3500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2-4A47-A4F6-6BBD10AD4A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182</c:v>
                </c:pt>
                <c:pt idx="4">
                  <c:v>299</c:v>
                </c:pt>
                <c:pt idx="5">
                  <c:v>300</c:v>
                </c:pt>
                <c:pt idx="6">
                  <c:v>423</c:v>
                </c:pt>
                <c:pt idx="7">
                  <c:v>467</c:v>
                </c:pt>
                <c:pt idx="8">
                  <c:v>504</c:v>
                </c:pt>
                <c:pt idx="9">
                  <c:v>508</c:v>
                </c:pt>
                <c:pt idx="10">
                  <c:v>548</c:v>
                </c:pt>
                <c:pt idx="11">
                  <c:v>553</c:v>
                </c:pt>
                <c:pt idx="12">
                  <c:v>554</c:v>
                </c:pt>
                <c:pt idx="13">
                  <c:v>560</c:v>
                </c:pt>
                <c:pt idx="14">
                  <c:v>579</c:v>
                </c:pt>
                <c:pt idx="15">
                  <c:v>721</c:v>
                </c:pt>
                <c:pt idx="16">
                  <c:v>722</c:v>
                </c:pt>
                <c:pt idx="17">
                  <c:v>787</c:v>
                </c:pt>
                <c:pt idx="18">
                  <c:v>920</c:v>
                </c:pt>
                <c:pt idx="19">
                  <c:v>960</c:v>
                </c:pt>
                <c:pt idx="20">
                  <c:v>1121</c:v>
                </c:pt>
                <c:pt idx="21">
                  <c:v>1128</c:v>
                </c:pt>
                <c:pt idx="22">
                  <c:v>1162</c:v>
                </c:pt>
                <c:pt idx="23">
                  <c:v>1184</c:v>
                </c:pt>
                <c:pt idx="24">
                  <c:v>1208</c:v>
                </c:pt>
                <c:pt idx="25">
                  <c:v>1255</c:v>
                </c:pt>
                <c:pt idx="26">
                  <c:v>1286</c:v>
                </c:pt>
                <c:pt idx="27">
                  <c:v>1336</c:v>
                </c:pt>
                <c:pt idx="28">
                  <c:v>1498</c:v>
                </c:pt>
                <c:pt idx="29">
                  <c:v>1514</c:v>
                </c:pt>
                <c:pt idx="30">
                  <c:v>1538</c:v>
                </c:pt>
                <c:pt idx="31">
                  <c:v>2043</c:v>
                </c:pt>
                <c:pt idx="32">
                  <c:v>2094</c:v>
                </c:pt>
                <c:pt idx="33">
                  <c:v>2113</c:v>
                </c:pt>
                <c:pt idx="34">
                  <c:v>2240</c:v>
                </c:pt>
                <c:pt idx="35">
                  <c:v>2321</c:v>
                </c:pt>
                <c:pt idx="36">
                  <c:v>2373</c:v>
                </c:pt>
                <c:pt idx="37">
                  <c:v>2443</c:v>
                </c:pt>
                <c:pt idx="38">
                  <c:v>2464</c:v>
                </c:pt>
                <c:pt idx="39">
                  <c:v>2505</c:v>
                </c:pt>
                <c:pt idx="40">
                  <c:v>3001</c:v>
                </c:pt>
                <c:pt idx="41">
                  <c:v>3318</c:v>
                </c:pt>
                <c:pt idx="42">
                  <c:v>3412</c:v>
                </c:pt>
                <c:pt idx="43">
                  <c:v>3500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1">
                  <c:v>-9.7890000004554167E-2</c:v>
                </c:pt>
                <c:pt idx="42">
                  <c:v>-9.0660000001662411E-2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2-4A47-A4F6-6BBD10AD4A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182</c:v>
                </c:pt>
                <c:pt idx="4">
                  <c:v>299</c:v>
                </c:pt>
                <c:pt idx="5">
                  <c:v>300</c:v>
                </c:pt>
                <c:pt idx="6">
                  <c:v>423</c:v>
                </c:pt>
                <c:pt idx="7">
                  <c:v>467</c:v>
                </c:pt>
                <c:pt idx="8">
                  <c:v>504</c:v>
                </c:pt>
                <c:pt idx="9">
                  <c:v>508</c:v>
                </c:pt>
                <c:pt idx="10">
                  <c:v>548</c:v>
                </c:pt>
                <c:pt idx="11">
                  <c:v>553</c:v>
                </c:pt>
                <c:pt idx="12">
                  <c:v>554</c:v>
                </c:pt>
                <c:pt idx="13">
                  <c:v>560</c:v>
                </c:pt>
                <c:pt idx="14">
                  <c:v>579</c:v>
                </c:pt>
                <c:pt idx="15">
                  <c:v>721</c:v>
                </c:pt>
                <c:pt idx="16">
                  <c:v>722</c:v>
                </c:pt>
                <c:pt idx="17">
                  <c:v>787</c:v>
                </c:pt>
                <c:pt idx="18">
                  <c:v>920</c:v>
                </c:pt>
                <c:pt idx="19">
                  <c:v>960</c:v>
                </c:pt>
                <c:pt idx="20">
                  <c:v>1121</c:v>
                </c:pt>
                <c:pt idx="21">
                  <c:v>1128</c:v>
                </c:pt>
                <c:pt idx="22">
                  <c:v>1162</c:v>
                </c:pt>
                <c:pt idx="23">
                  <c:v>1184</c:v>
                </c:pt>
                <c:pt idx="24">
                  <c:v>1208</c:v>
                </c:pt>
                <c:pt idx="25">
                  <c:v>1255</c:v>
                </c:pt>
                <c:pt idx="26">
                  <c:v>1286</c:v>
                </c:pt>
                <c:pt idx="27">
                  <c:v>1336</c:v>
                </c:pt>
                <c:pt idx="28">
                  <c:v>1498</c:v>
                </c:pt>
                <c:pt idx="29">
                  <c:v>1514</c:v>
                </c:pt>
                <c:pt idx="30">
                  <c:v>1538</c:v>
                </c:pt>
                <c:pt idx="31">
                  <c:v>2043</c:v>
                </c:pt>
                <c:pt idx="32">
                  <c:v>2094</c:v>
                </c:pt>
                <c:pt idx="33">
                  <c:v>2113</c:v>
                </c:pt>
                <c:pt idx="34">
                  <c:v>2240</c:v>
                </c:pt>
                <c:pt idx="35">
                  <c:v>2321</c:v>
                </c:pt>
                <c:pt idx="36">
                  <c:v>2373</c:v>
                </c:pt>
                <c:pt idx="37">
                  <c:v>2443</c:v>
                </c:pt>
                <c:pt idx="38">
                  <c:v>2464</c:v>
                </c:pt>
                <c:pt idx="39">
                  <c:v>2505</c:v>
                </c:pt>
                <c:pt idx="40">
                  <c:v>3001</c:v>
                </c:pt>
                <c:pt idx="41">
                  <c:v>3318</c:v>
                </c:pt>
                <c:pt idx="42">
                  <c:v>3412</c:v>
                </c:pt>
                <c:pt idx="43">
                  <c:v>3500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C2-4A47-A4F6-6BBD10AD4A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182</c:v>
                </c:pt>
                <c:pt idx="4">
                  <c:v>299</c:v>
                </c:pt>
                <c:pt idx="5">
                  <c:v>300</c:v>
                </c:pt>
                <c:pt idx="6">
                  <c:v>423</c:v>
                </c:pt>
                <c:pt idx="7">
                  <c:v>467</c:v>
                </c:pt>
                <c:pt idx="8">
                  <c:v>504</c:v>
                </c:pt>
                <c:pt idx="9">
                  <c:v>508</c:v>
                </c:pt>
                <c:pt idx="10">
                  <c:v>548</c:v>
                </c:pt>
                <c:pt idx="11">
                  <c:v>553</c:v>
                </c:pt>
                <c:pt idx="12">
                  <c:v>554</c:v>
                </c:pt>
                <c:pt idx="13">
                  <c:v>560</c:v>
                </c:pt>
                <c:pt idx="14">
                  <c:v>579</c:v>
                </c:pt>
                <c:pt idx="15">
                  <c:v>721</c:v>
                </c:pt>
                <c:pt idx="16">
                  <c:v>722</c:v>
                </c:pt>
                <c:pt idx="17">
                  <c:v>787</c:v>
                </c:pt>
                <c:pt idx="18">
                  <c:v>920</c:v>
                </c:pt>
                <c:pt idx="19">
                  <c:v>960</c:v>
                </c:pt>
                <c:pt idx="20">
                  <c:v>1121</c:v>
                </c:pt>
                <c:pt idx="21">
                  <c:v>1128</c:v>
                </c:pt>
                <c:pt idx="22">
                  <c:v>1162</c:v>
                </c:pt>
                <c:pt idx="23">
                  <c:v>1184</c:v>
                </c:pt>
                <c:pt idx="24">
                  <c:v>1208</c:v>
                </c:pt>
                <c:pt idx="25">
                  <c:v>1255</c:v>
                </c:pt>
                <c:pt idx="26">
                  <c:v>1286</c:v>
                </c:pt>
                <c:pt idx="27">
                  <c:v>1336</c:v>
                </c:pt>
                <c:pt idx="28">
                  <c:v>1498</c:v>
                </c:pt>
                <c:pt idx="29">
                  <c:v>1514</c:v>
                </c:pt>
                <c:pt idx="30">
                  <c:v>1538</c:v>
                </c:pt>
                <c:pt idx="31">
                  <c:v>2043</c:v>
                </c:pt>
                <c:pt idx="32">
                  <c:v>2094</c:v>
                </c:pt>
                <c:pt idx="33">
                  <c:v>2113</c:v>
                </c:pt>
                <c:pt idx="34">
                  <c:v>2240</c:v>
                </c:pt>
                <c:pt idx="35">
                  <c:v>2321</c:v>
                </c:pt>
                <c:pt idx="36">
                  <c:v>2373</c:v>
                </c:pt>
                <c:pt idx="37">
                  <c:v>2443</c:v>
                </c:pt>
                <c:pt idx="38">
                  <c:v>2464</c:v>
                </c:pt>
                <c:pt idx="39">
                  <c:v>2505</c:v>
                </c:pt>
                <c:pt idx="40">
                  <c:v>3001</c:v>
                </c:pt>
                <c:pt idx="41">
                  <c:v>3318</c:v>
                </c:pt>
                <c:pt idx="42">
                  <c:v>3412</c:v>
                </c:pt>
                <c:pt idx="43">
                  <c:v>3500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C2-4A47-A4F6-6BBD10AD4A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1">
                    <c:v>4.3999999999999997E-2</c:v>
                  </c:pt>
                  <c:pt idx="42">
                    <c:v>2.64E-2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182</c:v>
                </c:pt>
                <c:pt idx="4">
                  <c:v>299</c:v>
                </c:pt>
                <c:pt idx="5">
                  <c:v>300</c:v>
                </c:pt>
                <c:pt idx="6">
                  <c:v>423</c:v>
                </c:pt>
                <c:pt idx="7">
                  <c:v>467</c:v>
                </c:pt>
                <c:pt idx="8">
                  <c:v>504</c:v>
                </c:pt>
                <c:pt idx="9">
                  <c:v>508</c:v>
                </c:pt>
                <c:pt idx="10">
                  <c:v>548</c:v>
                </c:pt>
                <c:pt idx="11">
                  <c:v>553</c:v>
                </c:pt>
                <c:pt idx="12">
                  <c:v>554</c:v>
                </c:pt>
                <c:pt idx="13">
                  <c:v>560</c:v>
                </c:pt>
                <c:pt idx="14">
                  <c:v>579</c:v>
                </c:pt>
                <c:pt idx="15">
                  <c:v>721</c:v>
                </c:pt>
                <c:pt idx="16">
                  <c:v>722</c:v>
                </c:pt>
                <c:pt idx="17">
                  <c:v>787</c:v>
                </c:pt>
                <c:pt idx="18">
                  <c:v>920</c:v>
                </c:pt>
                <c:pt idx="19">
                  <c:v>960</c:v>
                </c:pt>
                <c:pt idx="20">
                  <c:v>1121</c:v>
                </c:pt>
                <c:pt idx="21">
                  <c:v>1128</c:v>
                </c:pt>
                <c:pt idx="22">
                  <c:v>1162</c:v>
                </c:pt>
                <c:pt idx="23">
                  <c:v>1184</c:v>
                </c:pt>
                <c:pt idx="24">
                  <c:v>1208</c:v>
                </c:pt>
                <c:pt idx="25">
                  <c:v>1255</c:v>
                </c:pt>
                <c:pt idx="26">
                  <c:v>1286</c:v>
                </c:pt>
                <c:pt idx="27">
                  <c:v>1336</c:v>
                </c:pt>
                <c:pt idx="28">
                  <c:v>1498</c:v>
                </c:pt>
                <c:pt idx="29">
                  <c:v>1514</c:v>
                </c:pt>
                <c:pt idx="30">
                  <c:v>1538</c:v>
                </c:pt>
                <c:pt idx="31">
                  <c:v>2043</c:v>
                </c:pt>
                <c:pt idx="32">
                  <c:v>2094</c:v>
                </c:pt>
                <c:pt idx="33">
                  <c:v>2113</c:v>
                </c:pt>
                <c:pt idx="34">
                  <c:v>2240</c:v>
                </c:pt>
                <c:pt idx="35">
                  <c:v>2321</c:v>
                </c:pt>
                <c:pt idx="36">
                  <c:v>2373</c:v>
                </c:pt>
                <c:pt idx="37">
                  <c:v>2443</c:v>
                </c:pt>
                <c:pt idx="38">
                  <c:v>2464</c:v>
                </c:pt>
                <c:pt idx="39">
                  <c:v>2505</c:v>
                </c:pt>
                <c:pt idx="40">
                  <c:v>3001</c:v>
                </c:pt>
                <c:pt idx="41">
                  <c:v>3318</c:v>
                </c:pt>
                <c:pt idx="42">
                  <c:v>3412</c:v>
                </c:pt>
                <c:pt idx="43">
                  <c:v>3500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C2-4A47-A4F6-6BBD10AD4A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182</c:v>
                </c:pt>
                <c:pt idx="4">
                  <c:v>299</c:v>
                </c:pt>
                <c:pt idx="5">
                  <c:v>300</c:v>
                </c:pt>
                <c:pt idx="6">
                  <c:v>423</c:v>
                </c:pt>
                <c:pt idx="7">
                  <c:v>467</c:v>
                </c:pt>
                <c:pt idx="8">
                  <c:v>504</c:v>
                </c:pt>
                <c:pt idx="9">
                  <c:v>508</c:v>
                </c:pt>
                <c:pt idx="10">
                  <c:v>548</c:v>
                </c:pt>
                <c:pt idx="11">
                  <c:v>553</c:v>
                </c:pt>
                <c:pt idx="12">
                  <c:v>554</c:v>
                </c:pt>
                <c:pt idx="13">
                  <c:v>560</c:v>
                </c:pt>
                <c:pt idx="14">
                  <c:v>579</c:v>
                </c:pt>
                <c:pt idx="15">
                  <c:v>721</c:v>
                </c:pt>
                <c:pt idx="16">
                  <c:v>722</c:v>
                </c:pt>
                <c:pt idx="17">
                  <c:v>787</c:v>
                </c:pt>
                <c:pt idx="18">
                  <c:v>920</c:v>
                </c:pt>
                <c:pt idx="19">
                  <c:v>960</c:v>
                </c:pt>
                <c:pt idx="20">
                  <c:v>1121</c:v>
                </c:pt>
                <c:pt idx="21">
                  <c:v>1128</c:v>
                </c:pt>
                <c:pt idx="22">
                  <c:v>1162</c:v>
                </c:pt>
                <c:pt idx="23">
                  <c:v>1184</c:v>
                </c:pt>
                <c:pt idx="24">
                  <c:v>1208</c:v>
                </c:pt>
                <c:pt idx="25">
                  <c:v>1255</c:v>
                </c:pt>
                <c:pt idx="26">
                  <c:v>1286</c:v>
                </c:pt>
                <c:pt idx="27">
                  <c:v>1336</c:v>
                </c:pt>
                <c:pt idx="28">
                  <c:v>1498</c:v>
                </c:pt>
                <c:pt idx="29">
                  <c:v>1514</c:v>
                </c:pt>
                <c:pt idx="30">
                  <c:v>1538</c:v>
                </c:pt>
                <c:pt idx="31">
                  <c:v>2043</c:v>
                </c:pt>
                <c:pt idx="32">
                  <c:v>2094</c:v>
                </c:pt>
                <c:pt idx="33">
                  <c:v>2113</c:v>
                </c:pt>
                <c:pt idx="34">
                  <c:v>2240</c:v>
                </c:pt>
                <c:pt idx="35">
                  <c:v>2321</c:v>
                </c:pt>
                <c:pt idx="36">
                  <c:v>2373</c:v>
                </c:pt>
                <c:pt idx="37">
                  <c:v>2443</c:v>
                </c:pt>
                <c:pt idx="38">
                  <c:v>2464</c:v>
                </c:pt>
                <c:pt idx="39">
                  <c:v>2505</c:v>
                </c:pt>
                <c:pt idx="40">
                  <c:v>3001</c:v>
                </c:pt>
                <c:pt idx="41">
                  <c:v>3318</c:v>
                </c:pt>
                <c:pt idx="42">
                  <c:v>3412</c:v>
                </c:pt>
                <c:pt idx="43">
                  <c:v>3500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1.8549305308334416E-2</c:v>
                </c:pt>
                <c:pt idx="1">
                  <c:v>1.8549305308334416E-2</c:v>
                </c:pt>
                <c:pt idx="2">
                  <c:v>1.6688813835403493E-2</c:v>
                </c:pt>
                <c:pt idx="3">
                  <c:v>1.2998330749753628E-2</c:v>
                </c:pt>
                <c:pt idx="4">
                  <c:v>9.4298471049516931E-3</c:v>
                </c:pt>
                <c:pt idx="5">
                  <c:v>9.3993472447397117E-3</c:v>
                </c:pt>
                <c:pt idx="6">
                  <c:v>5.6478644386658821E-3</c:v>
                </c:pt>
                <c:pt idx="7">
                  <c:v>4.3058705893386593E-3</c:v>
                </c:pt>
                <c:pt idx="8">
                  <c:v>3.1773757614953126E-3</c:v>
                </c:pt>
                <c:pt idx="9">
                  <c:v>3.0553763206473822E-3</c:v>
                </c:pt>
                <c:pt idx="10">
                  <c:v>1.8353819121680881E-3</c:v>
                </c:pt>
                <c:pt idx="11">
                  <c:v>1.6828826111081781E-3</c:v>
                </c:pt>
                <c:pt idx="12">
                  <c:v>1.6523827508961933E-3</c:v>
                </c:pt>
                <c:pt idx="13">
                  <c:v>1.469383589624302E-3</c:v>
                </c:pt>
                <c:pt idx="14">
                  <c:v>8.8988624559663623E-4</c:v>
                </c:pt>
                <c:pt idx="15">
                  <c:v>-3.4410939045048557E-3</c:v>
                </c:pt>
                <c:pt idx="16">
                  <c:v>-3.4715937647168404E-3</c:v>
                </c:pt>
                <c:pt idx="17">
                  <c:v>-5.4540846784956916E-3</c:v>
                </c:pt>
                <c:pt idx="18">
                  <c:v>-9.5105660866893448E-3</c:v>
                </c:pt>
                <c:pt idx="19">
                  <c:v>-1.0730560495168639E-2</c:v>
                </c:pt>
                <c:pt idx="20">
                  <c:v>-1.5641037989297793E-2</c:v>
                </c:pt>
                <c:pt idx="21">
                  <c:v>-1.5854537010781676E-2</c:v>
                </c:pt>
                <c:pt idx="22">
                  <c:v>-1.6891532257989075E-2</c:v>
                </c:pt>
                <c:pt idx="23">
                  <c:v>-1.7562529182652685E-2</c:v>
                </c:pt>
                <c:pt idx="24">
                  <c:v>-1.8294525827740257E-2</c:v>
                </c:pt>
                <c:pt idx="25">
                  <c:v>-1.9728019257703434E-2</c:v>
                </c:pt>
                <c:pt idx="26">
                  <c:v>-2.0673514924274883E-2</c:v>
                </c:pt>
                <c:pt idx="27">
                  <c:v>-2.2198507934874004E-2</c:v>
                </c:pt>
                <c:pt idx="28">
                  <c:v>-2.7139485289215143E-2</c:v>
                </c:pt>
                <c:pt idx="29">
                  <c:v>-2.7627483052606858E-2</c:v>
                </c:pt>
                <c:pt idx="30">
                  <c:v>-2.8359479697694437E-2</c:v>
                </c:pt>
                <c:pt idx="31">
                  <c:v>-4.3761909104745519E-2</c:v>
                </c:pt>
                <c:pt idx="32">
                  <c:v>-4.5317401975556615E-2</c:v>
                </c:pt>
                <c:pt idx="33">
                  <c:v>-4.5896899319584281E-2</c:v>
                </c:pt>
                <c:pt idx="34">
                  <c:v>-4.9770381566506039E-2</c:v>
                </c:pt>
                <c:pt idx="35">
                  <c:v>-5.2240870243676615E-2</c:v>
                </c:pt>
                <c:pt idx="36">
                  <c:v>-5.3826862974699699E-2</c:v>
                </c:pt>
                <c:pt idx="37">
                  <c:v>-5.596185318953846E-2</c:v>
                </c:pt>
                <c:pt idx="38">
                  <c:v>-5.6602350253990089E-2</c:v>
                </c:pt>
                <c:pt idx="39">
                  <c:v>-5.7852844522681371E-2</c:v>
                </c:pt>
                <c:pt idx="40">
                  <c:v>-7.2980775187824615E-2</c:v>
                </c:pt>
                <c:pt idx="41">
                  <c:v>-8.2649230875023016E-2</c:v>
                </c:pt>
                <c:pt idx="42">
                  <c:v>-8.5516217734949357E-2</c:v>
                </c:pt>
                <c:pt idx="43">
                  <c:v>-8.8200205433603796E-2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C2-4A47-A4F6-6BBD10AD4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79512"/>
        <c:axId val="1"/>
      </c:scatterChart>
      <c:valAx>
        <c:axId val="71497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869810870553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5797598627787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7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40155229309886"/>
          <c:y val="0.91950464396284826"/>
          <c:w val="0.69639848192217835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16</xdr:col>
      <xdr:colOff>457200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0184C7-7DA4-4AEC-41CC-84AC8C4AF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9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 s="18" customFormat="1" ht="12.95" customHeight="1">
      <c r="A2" s="18" t="s">
        <v>26</v>
      </c>
      <c r="B2" s="19" t="s">
        <v>46</v>
      </c>
    </row>
    <row r="3" spans="1:7" s="18" customFormat="1" ht="12.95" customHeight="1" thickBot="1">
      <c r="C3" s="20" t="s">
        <v>43</v>
      </c>
      <c r="E3" s="18" t="s">
        <v>230</v>
      </c>
    </row>
    <row r="4" spans="1:7" s="18" customFormat="1" ht="12.95" customHeight="1" thickTop="1" thickBot="1">
      <c r="A4" s="21" t="s">
        <v>1</v>
      </c>
      <c r="C4" s="22">
        <v>24020.352999999999</v>
      </c>
      <c r="D4" s="23">
        <v>8.8032050000000002</v>
      </c>
    </row>
    <row r="5" spans="1:7" s="18" customFormat="1" ht="12.95" customHeight="1"/>
    <row r="6" spans="1:7" s="18" customFormat="1" ht="12.95" customHeight="1">
      <c r="A6" s="21" t="s">
        <v>2</v>
      </c>
    </row>
    <row r="7" spans="1:7" s="18" customFormat="1" ht="12.95" customHeight="1">
      <c r="A7" s="18" t="s">
        <v>3</v>
      </c>
      <c r="C7" s="18">
        <f>+C4</f>
        <v>24020.352999999999</v>
      </c>
    </row>
    <row r="8" spans="1:7" s="18" customFormat="1" ht="12.95" customHeight="1">
      <c r="A8" s="18" t="s">
        <v>4</v>
      </c>
      <c r="C8" s="18">
        <v>8.8032050000000002</v>
      </c>
    </row>
    <row r="9" spans="1:7" s="18" customFormat="1" ht="12.95" customHeight="1">
      <c r="A9" s="24" t="s">
        <v>49</v>
      </c>
      <c r="C9" s="25">
        <v>-9.5</v>
      </c>
      <c r="D9" s="18" t="s">
        <v>50</v>
      </c>
    </row>
    <row r="10" spans="1:7" s="18" customFormat="1" ht="12.95" customHeight="1" thickBot="1">
      <c r="C10" s="26" t="s">
        <v>21</v>
      </c>
      <c r="D10" s="26" t="s">
        <v>22</v>
      </c>
    </row>
    <row r="11" spans="1:7" s="18" customFormat="1" ht="12.95" customHeight="1">
      <c r="A11" s="18" t="s">
        <v>17</v>
      </c>
      <c r="C11" s="27">
        <f ca="1">INTERCEPT(INDIRECT($G$11):G990,INDIRECT($F$11):F990)</f>
        <v>1.8549305308334416E-2</v>
      </c>
      <c r="D11" s="28"/>
      <c r="F11" s="29" t="str">
        <f>"F"&amp;E19</f>
        <v>F21</v>
      </c>
      <c r="G11" s="27" t="str">
        <f>"G"&amp;E19</f>
        <v>G21</v>
      </c>
    </row>
    <row r="12" spans="1:7" s="18" customFormat="1" ht="12.95" customHeight="1">
      <c r="A12" s="18" t="s">
        <v>18</v>
      </c>
      <c r="C12" s="27">
        <f ca="1">SLOPE(INDIRECT($G$11):G990,INDIRECT($F$11):F990)</f>
        <v>-3.0499860211982348E-5</v>
      </c>
      <c r="D12" s="28"/>
    </row>
    <row r="13" spans="1:7" s="18" customFormat="1" ht="12.95" customHeight="1">
      <c r="A13" s="18" t="s">
        <v>20</v>
      </c>
      <c r="C13" s="28" t="s">
        <v>15</v>
      </c>
      <c r="D13" s="30" t="s">
        <v>52</v>
      </c>
      <c r="E13" s="25">
        <v>1</v>
      </c>
    </row>
    <row r="14" spans="1:7" s="18" customFormat="1" ht="12.95" customHeight="1">
      <c r="A14" s="18" t="s">
        <v>25</v>
      </c>
      <c r="D14" s="30" t="s">
        <v>53</v>
      </c>
      <c r="E14" s="31">
        <f ca="1">NOW()+15018.5+$C$9/24</f>
        <v>60322.761064236111</v>
      </c>
    </row>
    <row r="15" spans="1:7" s="18" customFormat="1" ht="12.95" customHeight="1">
      <c r="A15" s="32" t="s">
        <v>19</v>
      </c>
      <c r="C15" s="33">
        <f ca="1">(C7+C11)+(C8+C12)*INT(MAX(F21:F3531))</f>
        <v>54831.482299794559</v>
      </c>
      <c r="D15" s="30" t="s">
        <v>54</v>
      </c>
      <c r="E15" s="31">
        <f ca="1">ROUND(2*(E14-$C$7)/$C$8,0)/2+E13</f>
        <v>4125</v>
      </c>
    </row>
    <row r="16" spans="1:7" s="18" customFormat="1" ht="12.95" customHeight="1">
      <c r="A16" s="21" t="s">
        <v>5</v>
      </c>
      <c r="C16" s="34">
        <f ca="1">+C8+C12</f>
        <v>8.8031745001397876</v>
      </c>
      <c r="D16" s="30" t="s">
        <v>55</v>
      </c>
      <c r="E16" s="27">
        <f ca="1">ROUND(2*(E14-$C$15)/$C$16,0)/2+E13</f>
        <v>625</v>
      </c>
    </row>
    <row r="17" spans="1:17" s="18" customFormat="1" ht="12.95" customHeight="1" thickBot="1">
      <c r="A17" s="30" t="s">
        <v>44</v>
      </c>
      <c r="C17" s="18">
        <f>COUNT(C21:C2189)</f>
        <v>44</v>
      </c>
      <c r="D17" s="30" t="s">
        <v>56</v>
      </c>
      <c r="E17" s="35">
        <f ca="1">+$C$15+$C$16*E16-15018.5-$C$9/24</f>
        <v>45315.362195715265</v>
      </c>
    </row>
    <row r="18" spans="1:17" s="18" customFormat="1" ht="12.95" customHeight="1">
      <c r="A18" s="21" t="s">
        <v>6</v>
      </c>
      <c r="C18" s="22">
        <f ca="1">+C15</f>
        <v>54831.482299794559</v>
      </c>
      <c r="D18" s="23">
        <f ca="1">+C16</f>
        <v>8.8031745001397876</v>
      </c>
      <c r="E18" s="36" t="s">
        <v>57</v>
      </c>
    </row>
    <row r="19" spans="1:17" s="18" customFormat="1" ht="12.95" customHeight="1" thickTop="1">
      <c r="A19" s="37" t="s">
        <v>51</v>
      </c>
      <c r="E19" s="38">
        <v>21</v>
      </c>
    </row>
    <row r="20" spans="1:17" s="18" customFormat="1" ht="12.95" customHeight="1" thickBot="1">
      <c r="A20" s="26" t="s">
        <v>7</v>
      </c>
      <c r="B20" s="26" t="s">
        <v>8</v>
      </c>
      <c r="C20" s="26" t="s">
        <v>9</v>
      </c>
      <c r="D20" s="26" t="s">
        <v>14</v>
      </c>
      <c r="E20" s="26" t="s">
        <v>10</v>
      </c>
      <c r="F20" s="26" t="s">
        <v>11</v>
      </c>
      <c r="G20" s="26" t="s">
        <v>12</v>
      </c>
      <c r="H20" s="39" t="s">
        <v>27</v>
      </c>
      <c r="I20" s="39" t="s">
        <v>67</v>
      </c>
      <c r="J20" s="39" t="s">
        <v>62</v>
      </c>
      <c r="K20" s="39" t="s">
        <v>60</v>
      </c>
      <c r="L20" s="39" t="s">
        <v>227</v>
      </c>
      <c r="M20" s="39" t="s">
        <v>228</v>
      </c>
      <c r="N20" s="39" t="s">
        <v>229</v>
      </c>
      <c r="O20" s="39" t="s">
        <v>24</v>
      </c>
      <c r="P20" s="40" t="s">
        <v>23</v>
      </c>
      <c r="Q20" s="26" t="s">
        <v>16</v>
      </c>
    </row>
    <row r="21" spans="1:17" s="18" customFormat="1" ht="12.95" customHeight="1">
      <c r="A21" s="18" t="s">
        <v>13</v>
      </c>
      <c r="C21" s="41">
        <v>24020.352999999999</v>
      </c>
      <c r="D21" s="41" t="s">
        <v>15</v>
      </c>
      <c r="E21" s="18">
        <f t="shared" ref="E21:E54" si="0">+(C21-C$7)/C$8</f>
        <v>0</v>
      </c>
      <c r="F21" s="18">
        <f t="shared" ref="F21:F54" si="1">ROUND(2*E21,0)/2</f>
        <v>0</v>
      </c>
      <c r="G21" s="18">
        <f t="shared" ref="G21:G54" si="2">+C21-(C$7+F21*C$8)</f>
        <v>0</v>
      </c>
      <c r="H21" s="18">
        <f>+G21</f>
        <v>0</v>
      </c>
      <c r="O21" s="18">
        <f t="shared" ref="O21:O54" ca="1" si="3">+C$11+C$12*F21</f>
        <v>1.8549305308334416E-2</v>
      </c>
      <c r="Q21" s="42">
        <f t="shared" ref="Q21:Q54" si="4">+C21-15018.5</f>
        <v>9001.8529999999992</v>
      </c>
    </row>
    <row r="22" spans="1:17" s="18" customFormat="1" ht="12.95" customHeight="1">
      <c r="A22" s="43" t="s">
        <v>74</v>
      </c>
      <c r="B22" s="44" t="s">
        <v>48</v>
      </c>
      <c r="C22" s="45">
        <v>24020.355</v>
      </c>
      <c r="D22" s="45" t="s">
        <v>67</v>
      </c>
      <c r="E22" s="18">
        <f t="shared" si="0"/>
        <v>2.2718998369428562E-4</v>
      </c>
      <c r="F22" s="18">
        <f t="shared" si="1"/>
        <v>0</v>
      </c>
      <c r="G22" s="18">
        <f t="shared" si="2"/>
        <v>2.0000000004074536E-3</v>
      </c>
      <c r="H22" s="18">
        <f>+G22</f>
        <v>2.0000000004074536E-3</v>
      </c>
      <c r="O22" s="18">
        <f t="shared" ca="1" si="3"/>
        <v>1.8549305308334416E-2</v>
      </c>
      <c r="Q22" s="42">
        <f t="shared" si="4"/>
        <v>9001.8549999999996</v>
      </c>
    </row>
    <row r="23" spans="1:17" s="18" customFormat="1" ht="12.95" customHeight="1">
      <c r="A23" s="43" t="s">
        <v>74</v>
      </c>
      <c r="B23" s="44" t="s">
        <v>48</v>
      </c>
      <c r="C23" s="45">
        <v>24557.346000000001</v>
      </c>
      <c r="D23" s="45" t="s">
        <v>67</v>
      </c>
      <c r="E23" s="18">
        <f t="shared" si="0"/>
        <v>60.999715444545728</v>
      </c>
      <c r="F23" s="18">
        <f t="shared" si="1"/>
        <v>61</v>
      </c>
      <c r="G23" s="18">
        <f t="shared" si="2"/>
        <v>-2.5049999967450276E-3</v>
      </c>
      <c r="H23" s="18">
        <f>+G23</f>
        <v>-2.5049999967450276E-3</v>
      </c>
      <c r="O23" s="18">
        <f t="shared" ca="1" si="3"/>
        <v>1.6688813835403493E-2</v>
      </c>
      <c r="Q23" s="42">
        <f t="shared" si="4"/>
        <v>9538.8460000000014</v>
      </c>
    </row>
    <row r="24" spans="1:17" s="18" customFormat="1" ht="12.95" customHeight="1">
      <c r="A24" s="43" t="s">
        <v>82</v>
      </c>
      <c r="B24" s="44" t="s">
        <v>48</v>
      </c>
      <c r="C24" s="45">
        <v>25622.560000000001</v>
      </c>
      <c r="D24" s="45" t="s">
        <v>67</v>
      </c>
      <c r="E24" s="18">
        <f t="shared" si="0"/>
        <v>182.00269106535654</v>
      </c>
      <c r="F24" s="18">
        <f t="shared" si="1"/>
        <v>182</v>
      </c>
      <c r="G24" s="18">
        <f t="shared" si="2"/>
        <v>2.3690000001806766E-2</v>
      </c>
      <c r="H24" s="18">
        <f>+G24</f>
        <v>2.3690000001806766E-2</v>
      </c>
      <c r="O24" s="18">
        <f t="shared" ca="1" si="3"/>
        <v>1.2998330749753628E-2</v>
      </c>
      <c r="Q24" s="42">
        <f t="shared" si="4"/>
        <v>10604.060000000001</v>
      </c>
    </row>
    <row r="25" spans="1:17" s="18" customFormat="1" ht="12.95" customHeight="1">
      <c r="A25" s="43" t="s">
        <v>88</v>
      </c>
      <c r="B25" s="44" t="s">
        <v>48</v>
      </c>
      <c r="C25" s="45">
        <v>26652.463</v>
      </c>
      <c r="D25" s="45" t="s">
        <v>67</v>
      </c>
      <c r="E25" s="18">
        <f t="shared" si="0"/>
        <v>298.99451392986992</v>
      </c>
      <c r="F25" s="18">
        <f t="shared" si="1"/>
        <v>299</v>
      </c>
      <c r="G25" s="18">
        <f t="shared" si="2"/>
        <v>-4.8295000000507571E-2</v>
      </c>
      <c r="I25" s="18">
        <f>+G25</f>
        <v>-4.8295000000507571E-2</v>
      </c>
      <c r="O25" s="18">
        <f t="shared" ca="1" si="3"/>
        <v>9.4298471049516931E-3</v>
      </c>
      <c r="Q25" s="42">
        <f t="shared" si="4"/>
        <v>11633.963</v>
      </c>
    </row>
    <row r="26" spans="1:17" s="18" customFormat="1" ht="12.95" customHeight="1">
      <c r="A26" s="43" t="s">
        <v>88</v>
      </c>
      <c r="B26" s="44" t="s">
        <v>48</v>
      </c>
      <c r="C26" s="45">
        <v>26661.43</v>
      </c>
      <c r="D26" s="45" t="s">
        <v>67</v>
      </c>
      <c r="E26" s="18">
        <f t="shared" si="0"/>
        <v>300.01312022155582</v>
      </c>
      <c r="F26" s="18">
        <f t="shared" si="1"/>
        <v>300</v>
      </c>
      <c r="G26" s="18">
        <f t="shared" si="2"/>
        <v>0.11549999999988358</v>
      </c>
      <c r="I26" s="18">
        <f>+G26</f>
        <v>0.11549999999988358</v>
      </c>
      <c r="O26" s="18">
        <f t="shared" ca="1" si="3"/>
        <v>9.3993472447397117E-3</v>
      </c>
      <c r="Q26" s="42">
        <f t="shared" si="4"/>
        <v>11642.93</v>
      </c>
    </row>
    <row r="27" spans="1:17" s="18" customFormat="1" ht="12.95" customHeight="1">
      <c r="A27" s="43" t="s">
        <v>96</v>
      </c>
      <c r="B27" s="44" t="s">
        <v>48</v>
      </c>
      <c r="C27" s="45">
        <v>27744.12</v>
      </c>
      <c r="D27" s="45" t="s">
        <v>67</v>
      </c>
      <c r="E27" s="18">
        <f t="shared" si="0"/>
        <v>423.00128191948272</v>
      </c>
      <c r="F27" s="18">
        <f t="shared" si="1"/>
        <v>423</v>
      </c>
      <c r="G27" s="18">
        <f t="shared" si="2"/>
        <v>1.1285000000498258E-2</v>
      </c>
      <c r="H27" s="18">
        <f t="shared" ref="H27:H35" si="5">+G27</f>
        <v>1.1285000000498258E-2</v>
      </c>
      <c r="O27" s="18">
        <f t="shared" ca="1" si="3"/>
        <v>5.6478644386658821E-3</v>
      </c>
      <c r="Q27" s="42">
        <f t="shared" si="4"/>
        <v>12725.619999999999</v>
      </c>
    </row>
    <row r="28" spans="1:17" s="18" customFormat="1" ht="12.95" customHeight="1">
      <c r="A28" s="43" t="s">
        <v>101</v>
      </c>
      <c r="B28" s="44" t="s">
        <v>48</v>
      </c>
      <c r="C28" s="45">
        <v>28131.502</v>
      </c>
      <c r="D28" s="45" t="s">
        <v>67</v>
      </c>
      <c r="E28" s="18">
        <f t="shared" si="0"/>
        <v>467.00593704224781</v>
      </c>
      <c r="F28" s="18">
        <f t="shared" si="1"/>
        <v>467</v>
      </c>
      <c r="G28" s="18">
        <f t="shared" si="2"/>
        <v>5.2265000002080342E-2</v>
      </c>
      <c r="H28" s="18">
        <f t="shared" si="5"/>
        <v>5.2265000002080342E-2</v>
      </c>
      <c r="O28" s="18">
        <f t="shared" ca="1" si="3"/>
        <v>4.3058705893386593E-3</v>
      </c>
      <c r="Q28" s="42">
        <f t="shared" si="4"/>
        <v>13113.002</v>
      </c>
    </row>
    <row r="29" spans="1:17" s="18" customFormat="1" ht="12.95" customHeight="1">
      <c r="A29" s="43" t="s">
        <v>96</v>
      </c>
      <c r="B29" s="44" t="s">
        <v>48</v>
      </c>
      <c r="C29" s="45">
        <v>28457.178</v>
      </c>
      <c r="D29" s="45" t="s">
        <v>67</v>
      </c>
      <c r="E29" s="18">
        <f t="shared" si="0"/>
        <v>504.00109959952096</v>
      </c>
      <c r="F29" s="18">
        <f t="shared" si="1"/>
        <v>504</v>
      </c>
      <c r="G29" s="18">
        <f t="shared" si="2"/>
        <v>9.6800000028451905E-3</v>
      </c>
      <c r="H29" s="18">
        <f t="shared" si="5"/>
        <v>9.6800000028451905E-3</v>
      </c>
      <c r="O29" s="18">
        <f t="shared" ca="1" si="3"/>
        <v>3.1773757614953126E-3</v>
      </c>
      <c r="Q29" s="42">
        <f t="shared" si="4"/>
        <v>13438.678</v>
      </c>
    </row>
    <row r="30" spans="1:17" s="18" customFormat="1" ht="12.95" customHeight="1">
      <c r="A30" s="43" t="s">
        <v>96</v>
      </c>
      <c r="B30" s="44" t="s">
        <v>48</v>
      </c>
      <c r="C30" s="45">
        <v>28492.412</v>
      </c>
      <c r="D30" s="45" t="s">
        <v>67</v>
      </c>
      <c r="E30" s="18">
        <f t="shared" si="0"/>
        <v>508.00350554144779</v>
      </c>
      <c r="F30" s="18">
        <f t="shared" si="1"/>
        <v>508</v>
      </c>
      <c r="G30" s="18">
        <f t="shared" si="2"/>
        <v>3.0860000002576271E-2</v>
      </c>
      <c r="H30" s="18">
        <f t="shared" si="5"/>
        <v>3.0860000002576271E-2</v>
      </c>
      <c r="O30" s="18">
        <f t="shared" ca="1" si="3"/>
        <v>3.0553763206473822E-3</v>
      </c>
      <c r="Q30" s="42">
        <f t="shared" si="4"/>
        <v>13473.912</v>
      </c>
    </row>
    <row r="31" spans="1:17" s="18" customFormat="1" ht="12.95" customHeight="1">
      <c r="A31" s="43" t="s">
        <v>96</v>
      </c>
      <c r="B31" s="44" t="s">
        <v>48</v>
      </c>
      <c r="C31" s="45">
        <v>28844.518</v>
      </c>
      <c r="D31" s="45" t="s">
        <v>67</v>
      </c>
      <c r="E31" s="18">
        <f t="shared" si="0"/>
        <v>548.00098373262927</v>
      </c>
      <c r="F31" s="18">
        <f t="shared" si="1"/>
        <v>548</v>
      </c>
      <c r="G31" s="18">
        <f t="shared" si="2"/>
        <v>8.6599999995087273E-3</v>
      </c>
      <c r="H31" s="18">
        <f t="shared" si="5"/>
        <v>8.6599999995087273E-3</v>
      </c>
      <c r="O31" s="18">
        <f t="shared" ca="1" si="3"/>
        <v>1.8353819121680881E-3</v>
      </c>
      <c r="Q31" s="42">
        <f t="shared" si="4"/>
        <v>13826.018</v>
      </c>
    </row>
    <row r="32" spans="1:17" s="18" customFormat="1" ht="12.95" customHeight="1">
      <c r="A32" s="43" t="s">
        <v>96</v>
      </c>
      <c r="B32" s="44" t="s">
        <v>48</v>
      </c>
      <c r="C32" s="45">
        <v>28888.535</v>
      </c>
      <c r="D32" s="45" t="s">
        <v>67</v>
      </c>
      <c r="E32" s="18">
        <f t="shared" si="0"/>
        <v>553.00109448774629</v>
      </c>
      <c r="F32" s="18">
        <f t="shared" si="1"/>
        <v>553</v>
      </c>
      <c r="G32" s="18">
        <f t="shared" si="2"/>
        <v>9.6349999985250179E-3</v>
      </c>
      <c r="H32" s="18">
        <f t="shared" si="5"/>
        <v>9.6349999985250179E-3</v>
      </c>
      <c r="O32" s="18">
        <f t="shared" ca="1" si="3"/>
        <v>1.6828826111081781E-3</v>
      </c>
      <c r="Q32" s="42">
        <f t="shared" si="4"/>
        <v>13870.035</v>
      </c>
    </row>
    <row r="33" spans="1:17" s="18" customFormat="1" ht="12.95" customHeight="1">
      <c r="A33" s="43" t="s">
        <v>96</v>
      </c>
      <c r="B33" s="44" t="s">
        <v>48</v>
      </c>
      <c r="C33" s="45">
        <v>28897.345000000001</v>
      </c>
      <c r="D33" s="45" t="s">
        <v>67</v>
      </c>
      <c r="E33" s="18">
        <f t="shared" si="0"/>
        <v>554.00186636571584</v>
      </c>
      <c r="F33" s="18">
        <f t="shared" si="1"/>
        <v>554</v>
      </c>
      <c r="G33" s="18">
        <f t="shared" si="2"/>
        <v>1.6430000003310852E-2</v>
      </c>
      <c r="H33" s="18">
        <f t="shared" si="5"/>
        <v>1.6430000003310852E-2</v>
      </c>
      <c r="O33" s="18">
        <f t="shared" ca="1" si="3"/>
        <v>1.6523827508961933E-3</v>
      </c>
      <c r="Q33" s="42">
        <f t="shared" si="4"/>
        <v>13878.845000000001</v>
      </c>
    </row>
    <row r="34" spans="1:17" s="18" customFormat="1" ht="12.95" customHeight="1">
      <c r="A34" s="43" t="s">
        <v>96</v>
      </c>
      <c r="B34" s="44" t="s">
        <v>48</v>
      </c>
      <c r="C34" s="45">
        <v>28950.174999999999</v>
      </c>
      <c r="D34" s="45" t="s">
        <v>67</v>
      </c>
      <c r="E34" s="18">
        <f t="shared" si="0"/>
        <v>560.00308978377757</v>
      </c>
      <c r="F34" s="18">
        <f t="shared" si="1"/>
        <v>560</v>
      </c>
      <c r="G34" s="18">
        <f t="shared" si="2"/>
        <v>2.7200000000448199E-2</v>
      </c>
      <c r="H34" s="18">
        <f t="shared" si="5"/>
        <v>2.7200000000448199E-2</v>
      </c>
      <c r="O34" s="18">
        <f t="shared" ca="1" si="3"/>
        <v>1.469383589624302E-3</v>
      </c>
      <c r="Q34" s="42">
        <f t="shared" si="4"/>
        <v>13931.674999999999</v>
      </c>
    </row>
    <row r="35" spans="1:17" s="18" customFormat="1" ht="12.95" customHeight="1">
      <c r="A35" s="43" t="s">
        <v>96</v>
      </c>
      <c r="B35" s="44" t="s">
        <v>48</v>
      </c>
      <c r="C35" s="45">
        <v>29117.415000000001</v>
      </c>
      <c r="D35" s="45" t="s">
        <v>67</v>
      </c>
      <c r="E35" s="18">
        <f t="shared" si="0"/>
        <v>579.0007162164236</v>
      </c>
      <c r="F35" s="18">
        <f t="shared" si="1"/>
        <v>579</v>
      </c>
      <c r="G35" s="18">
        <f t="shared" si="2"/>
        <v>6.3050000026123598E-3</v>
      </c>
      <c r="H35" s="18">
        <f t="shared" si="5"/>
        <v>6.3050000026123598E-3</v>
      </c>
      <c r="O35" s="18">
        <f t="shared" ca="1" si="3"/>
        <v>8.8988624559663623E-4</v>
      </c>
      <c r="Q35" s="42">
        <f t="shared" si="4"/>
        <v>14098.915000000001</v>
      </c>
    </row>
    <row r="36" spans="1:17" s="18" customFormat="1" ht="12.95" customHeight="1">
      <c r="A36" s="43" t="s">
        <v>88</v>
      </c>
      <c r="B36" s="44" t="s">
        <v>48</v>
      </c>
      <c r="C36" s="45">
        <v>30367.294000000002</v>
      </c>
      <c r="D36" s="45" t="s">
        <v>67</v>
      </c>
      <c r="E36" s="18">
        <f t="shared" si="0"/>
        <v>720.98071100241361</v>
      </c>
      <c r="F36" s="18">
        <f t="shared" si="1"/>
        <v>721</v>
      </c>
      <c r="G36" s="18">
        <f t="shared" si="2"/>
        <v>-0.16980499999772292</v>
      </c>
      <c r="I36" s="18">
        <f t="shared" ref="I36:I54" si="6">+G36</f>
        <v>-0.16980499999772292</v>
      </c>
      <c r="O36" s="18">
        <f t="shared" ca="1" si="3"/>
        <v>-3.4410939045048557E-3</v>
      </c>
      <c r="Q36" s="42">
        <f t="shared" si="4"/>
        <v>15348.794000000002</v>
      </c>
    </row>
    <row r="37" spans="1:17" s="18" customFormat="1" ht="12.95" customHeight="1">
      <c r="A37" s="43" t="s">
        <v>88</v>
      </c>
      <c r="B37" s="44" t="s">
        <v>48</v>
      </c>
      <c r="C37" s="45">
        <v>30376.383999999998</v>
      </c>
      <c r="D37" s="45" t="s">
        <v>67</v>
      </c>
      <c r="E37" s="18">
        <f t="shared" si="0"/>
        <v>722.01328947809338</v>
      </c>
      <c r="F37" s="18">
        <f t="shared" si="1"/>
        <v>722</v>
      </c>
      <c r="G37" s="18">
        <f t="shared" si="2"/>
        <v>0.11698999999862281</v>
      </c>
      <c r="I37" s="18">
        <f t="shared" si="6"/>
        <v>0.11698999999862281</v>
      </c>
      <c r="O37" s="18">
        <f t="shared" ca="1" si="3"/>
        <v>-3.4715937647168404E-3</v>
      </c>
      <c r="Q37" s="42">
        <f t="shared" si="4"/>
        <v>15357.883999999998</v>
      </c>
    </row>
    <row r="38" spans="1:17" s="18" customFormat="1" ht="12.95" customHeight="1">
      <c r="A38" s="43" t="s">
        <v>74</v>
      </c>
      <c r="B38" s="44" t="s">
        <v>48</v>
      </c>
      <c r="C38" s="45">
        <v>30948.485000000001</v>
      </c>
      <c r="D38" s="45" t="s">
        <v>67</v>
      </c>
      <c r="E38" s="18">
        <f t="shared" si="0"/>
        <v>787.0010978955961</v>
      </c>
      <c r="F38" s="18">
        <f t="shared" si="1"/>
        <v>787</v>
      </c>
      <c r="G38" s="18">
        <f t="shared" si="2"/>
        <v>9.6650000014051329E-3</v>
      </c>
      <c r="I38" s="18">
        <f t="shared" si="6"/>
        <v>9.6650000014051329E-3</v>
      </c>
      <c r="O38" s="18">
        <f t="shared" ca="1" si="3"/>
        <v>-5.4540846784956916E-3</v>
      </c>
      <c r="Q38" s="42">
        <f t="shared" si="4"/>
        <v>15929.985000000001</v>
      </c>
    </row>
    <row r="39" spans="1:17" s="18" customFormat="1" ht="12.95" customHeight="1">
      <c r="A39" s="43" t="s">
        <v>88</v>
      </c>
      <c r="B39" s="44" t="s">
        <v>48</v>
      </c>
      <c r="C39" s="45">
        <v>32119.441999999999</v>
      </c>
      <c r="D39" s="45" t="s">
        <v>67</v>
      </c>
      <c r="E39" s="18">
        <f t="shared" si="0"/>
        <v>920.01594873685201</v>
      </c>
      <c r="F39" s="18">
        <f t="shared" si="1"/>
        <v>920</v>
      </c>
      <c r="G39" s="18">
        <f t="shared" si="2"/>
        <v>0.14040000000022701</v>
      </c>
      <c r="I39" s="18">
        <f t="shared" si="6"/>
        <v>0.14040000000022701</v>
      </c>
      <c r="O39" s="18">
        <f t="shared" ca="1" si="3"/>
        <v>-9.5105660866893448E-3</v>
      </c>
      <c r="Q39" s="42">
        <f t="shared" si="4"/>
        <v>17100.941999999999</v>
      </c>
    </row>
    <row r="40" spans="1:17" s="18" customFormat="1" ht="12.95" customHeight="1">
      <c r="A40" s="43" t="s">
        <v>88</v>
      </c>
      <c r="B40" s="44" t="s">
        <v>48</v>
      </c>
      <c r="C40" s="45">
        <v>32471.473000000002</v>
      </c>
      <c r="D40" s="45" t="s">
        <v>67</v>
      </c>
      <c r="E40" s="18">
        <f t="shared" si="0"/>
        <v>960.00490730364709</v>
      </c>
      <c r="F40" s="18">
        <f t="shared" si="1"/>
        <v>960</v>
      </c>
      <c r="G40" s="18">
        <f t="shared" si="2"/>
        <v>4.3200000003707828E-2</v>
      </c>
      <c r="I40" s="18">
        <f t="shared" si="6"/>
        <v>4.3200000003707828E-2</v>
      </c>
      <c r="O40" s="18">
        <f t="shared" ca="1" si="3"/>
        <v>-1.0730560495168639E-2</v>
      </c>
      <c r="Q40" s="42">
        <f t="shared" si="4"/>
        <v>17452.973000000002</v>
      </c>
    </row>
    <row r="41" spans="1:17" s="18" customFormat="1" ht="12.95" customHeight="1">
      <c r="A41" s="43" t="s">
        <v>88</v>
      </c>
      <c r="B41" s="44" t="s">
        <v>48</v>
      </c>
      <c r="C41" s="45">
        <v>33888.516000000003</v>
      </c>
      <c r="D41" s="45" t="s">
        <v>67</v>
      </c>
      <c r="E41" s="18">
        <f t="shared" si="0"/>
        <v>1120.9738953029043</v>
      </c>
      <c r="F41" s="18">
        <f t="shared" si="1"/>
        <v>1121</v>
      </c>
      <c r="G41" s="18">
        <f t="shared" si="2"/>
        <v>-0.22980499999539461</v>
      </c>
      <c r="I41" s="18">
        <f t="shared" si="6"/>
        <v>-0.22980499999539461</v>
      </c>
      <c r="O41" s="18">
        <f t="shared" ca="1" si="3"/>
        <v>-1.5641037989297793E-2</v>
      </c>
      <c r="Q41" s="42">
        <f t="shared" si="4"/>
        <v>18870.016000000003</v>
      </c>
    </row>
    <row r="42" spans="1:17" s="18" customFormat="1" ht="12.95" customHeight="1">
      <c r="A42" s="43" t="s">
        <v>88</v>
      </c>
      <c r="B42" s="44" t="s">
        <v>48</v>
      </c>
      <c r="C42" s="45">
        <v>33950.410000000003</v>
      </c>
      <c r="D42" s="45" t="s">
        <v>67</v>
      </c>
      <c r="E42" s="18">
        <f t="shared" si="0"/>
        <v>1128.004743726859</v>
      </c>
      <c r="F42" s="18">
        <f t="shared" si="1"/>
        <v>1128</v>
      </c>
      <c r="G42" s="18">
        <f t="shared" si="2"/>
        <v>4.1760000007343479E-2</v>
      </c>
      <c r="I42" s="18">
        <f t="shared" si="6"/>
        <v>4.1760000007343479E-2</v>
      </c>
      <c r="O42" s="18">
        <f t="shared" ca="1" si="3"/>
        <v>-1.5854537010781676E-2</v>
      </c>
      <c r="Q42" s="42">
        <f t="shared" si="4"/>
        <v>18931.910000000003</v>
      </c>
    </row>
    <row r="43" spans="1:17" s="18" customFormat="1" ht="12.95" customHeight="1">
      <c r="A43" s="43" t="s">
        <v>88</v>
      </c>
      <c r="B43" s="44" t="s">
        <v>48</v>
      </c>
      <c r="C43" s="45">
        <v>34249.53</v>
      </c>
      <c r="D43" s="45" t="s">
        <v>67</v>
      </c>
      <c r="E43" s="18">
        <f t="shared" si="0"/>
        <v>1161.9832776812536</v>
      </c>
      <c r="F43" s="18">
        <f t="shared" si="1"/>
        <v>1162</v>
      </c>
      <c r="G43" s="18">
        <f t="shared" si="2"/>
        <v>-0.14721000000281492</v>
      </c>
      <c r="I43" s="18">
        <f t="shared" si="6"/>
        <v>-0.14721000000281492</v>
      </c>
      <c r="O43" s="18">
        <f t="shared" ca="1" si="3"/>
        <v>-1.6891532257989075E-2</v>
      </c>
      <c r="Q43" s="42">
        <f t="shared" si="4"/>
        <v>19231.03</v>
      </c>
    </row>
    <row r="44" spans="1:17" s="18" customFormat="1" ht="12.95" customHeight="1">
      <c r="A44" s="43" t="s">
        <v>88</v>
      </c>
      <c r="B44" s="44" t="s">
        <v>48</v>
      </c>
      <c r="C44" s="45">
        <v>34443.294000000002</v>
      </c>
      <c r="D44" s="45" t="s">
        <v>67</v>
      </c>
      <c r="E44" s="18">
        <f t="shared" si="0"/>
        <v>1183.9938976770395</v>
      </c>
      <c r="F44" s="18">
        <f t="shared" si="1"/>
        <v>1184</v>
      </c>
      <c r="G44" s="18">
        <f t="shared" si="2"/>
        <v>-5.371999999624677E-2</v>
      </c>
      <c r="I44" s="18">
        <f t="shared" si="6"/>
        <v>-5.371999999624677E-2</v>
      </c>
      <c r="O44" s="18">
        <f t="shared" ca="1" si="3"/>
        <v>-1.7562529182652685E-2</v>
      </c>
      <c r="Q44" s="42">
        <f t="shared" si="4"/>
        <v>19424.794000000002</v>
      </c>
    </row>
    <row r="45" spans="1:17" s="18" customFormat="1" ht="12.95" customHeight="1">
      <c r="A45" s="43" t="s">
        <v>88</v>
      </c>
      <c r="B45" s="44" t="s">
        <v>48</v>
      </c>
      <c r="C45" s="45">
        <v>34654.499000000003</v>
      </c>
      <c r="D45" s="45" t="s">
        <v>67</v>
      </c>
      <c r="E45" s="18">
        <f t="shared" si="0"/>
        <v>1207.9857279252276</v>
      </c>
      <c r="F45" s="18">
        <f t="shared" si="1"/>
        <v>1208</v>
      </c>
      <c r="G45" s="18">
        <f t="shared" si="2"/>
        <v>-0.12563999999838416</v>
      </c>
      <c r="I45" s="18">
        <f t="shared" si="6"/>
        <v>-0.12563999999838416</v>
      </c>
      <c r="O45" s="18">
        <f t="shared" ca="1" si="3"/>
        <v>-1.8294525827740257E-2</v>
      </c>
      <c r="Q45" s="42">
        <f t="shared" si="4"/>
        <v>19635.999000000003</v>
      </c>
    </row>
    <row r="46" spans="1:17" s="18" customFormat="1" ht="12.95" customHeight="1">
      <c r="A46" s="43" t="s">
        <v>88</v>
      </c>
      <c r="B46" s="44" t="s">
        <v>48</v>
      </c>
      <c r="C46" s="45">
        <v>35068.383000000002</v>
      </c>
      <c r="D46" s="45" t="s">
        <v>67</v>
      </c>
      <c r="E46" s="18">
        <f t="shared" si="0"/>
        <v>1255.0008775213121</v>
      </c>
      <c r="F46" s="18">
        <f t="shared" si="1"/>
        <v>1255</v>
      </c>
      <c r="G46" s="18">
        <f t="shared" si="2"/>
        <v>7.7250000031199306E-3</v>
      </c>
      <c r="I46" s="18">
        <f t="shared" si="6"/>
        <v>7.7250000031199306E-3</v>
      </c>
      <c r="O46" s="18">
        <f t="shared" ca="1" si="3"/>
        <v>-1.9728019257703434E-2</v>
      </c>
      <c r="Q46" s="42">
        <f t="shared" si="4"/>
        <v>20049.883000000002</v>
      </c>
    </row>
    <row r="47" spans="1:17" s="18" customFormat="1" ht="12.95" customHeight="1">
      <c r="A47" s="43" t="s">
        <v>159</v>
      </c>
      <c r="B47" s="44" t="s">
        <v>48</v>
      </c>
      <c r="C47" s="45">
        <v>35341.277999999998</v>
      </c>
      <c r="D47" s="45" t="s">
        <v>67</v>
      </c>
      <c r="E47" s="18">
        <f t="shared" si="0"/>
        <v>1286.0003828151223</v>
      </c>
      <c r="F47" s="18">
        <f t="shared" si="1"/>
        <v>1286</v>
      </c>
      <c r="G47" s="18">
        <f t="shared" si="2"/>
        <v>3.3699999985401519E-3</v>
      </c>
      <c r="I47" s="18">
        <f t="shared" si="6"/>
        <v>3.3699999985401519E-3</v>
      </c>
      <c r="O47" s="18">
        <f t="shared" ca="1" si="3"/>
        <v>-2.0673514924274883E-2</v>
      </c>
      <c r="Q47" s="42">
        <f t="shared" si="4"/>
        <v>20322.777999999998</v>
      </c>
    </row>
    <row r="48" spans="1:17" s="18" customFormat="1" ht="12.95" customHeight="1">
      <c r="A48" s="43" t="s">
        <v>164</v>
      </c>
      <c r="B48" s="44" t="s">
        <v>48</v>
      </c>
      <c r="C48" s="45">
        <v>35781.432999999997</v>
      </c>
      <c r="D48" s="45" t="s">
        <v>67</v>
      </c>
      <c r="E48" s="18">
        <f t="shared" si="0"/>
        <v>1335.9997864414152</v>
      </c>
      <c r="F48" s="18">
        <f t="shared" si="1"/>
        <v>1336</v>
      </c>
      <c r="G48" s="18">
        <f t="shared" si="2"/>
        <v>-1.8800000034389086E-3</v>
      </c>
      <c r="I48" s="18">
        <f t="shared" si="6"/>
        <v>-1.8800000034389086E-3</v>
      </c>
      <c r="O48" s="18">
        <f t="shared" ca="1" si="3"/>
        <v>-2.2198507934874004E-2</v>
      </c>
      <c r="Q48" s="42">
        <f t="shared" si="4"/>
        <v>20762.932999999997</v>
      </c>
    </row>
    <row r="49" spans="1:31" s="18" customFormat="1" ht="12.95" customHeight="1">
      <c r="A49" s="18" t="s">
        <v>28</v>
      </c>
      <c r="C49" s="46">
        <v>37207.555</v>
      </c>
      <c r="D49" s="41"/>
      <c r="E49" s="18">
        <f t="shared" si="0"/>
        <v>1498.0001033714427</v>
      </c>
      <c r="F49" s="18">
        <f t="shared" si="1"/>
        <v>1498</v>
      </c>
      <c r="G49" s="18">
        <f t="shared" si="2"/>
        <v>9.1000000247731805E-4</v>
      </c>
      <c r="I49" s="18">
        <f t="shared" si="6"/>
        <v>9.1000000247731805E-4</v>
      </c>
      <c r="O49" s="18">
        <f t="shared" ca="1" si="3"/>
        <v>-2.7139485289215143E-2</v>
      </c>
      <c r="Q49" s="42">
        <f t="shared" si="4"/>
        <v>22189.055</v>
      </c>
      <c r="AA49" s="18" t="s">
        <v>27</v>
      </c>
      <c r="AE49" s="18" t="s">
        <v>29</v>
      </c>
    </row>
    <row r="50" spans="1:31" s="18" customFormat="1" ht="12.95" customHeight="1">
      <c r="A50" s="18" t="s">
        <v>28</v>
      </c>
      <c r="C50" s="46">
        <v>37348.273000000001</v>
      </c>
      <c r="D50" s="41"/>
      <c r="E50" s="18">
        <f t="shared" si="0"/>
        <v>1513.9849634309323</v>
      </c>
      <c r="F50" s="18">
        <f t="shared" si="1"/>
        <v>1514</v>
      </c>
      <c r="G50" s="18">
        <f t="shared" si="2"/>
        <v>-0.13236999999935506</v>
      </c>
      <c r="I50" s="18">
        <f t="shared" si="6"/>
        <v>-0.13236999999935506</v>
      </c>
      <c r="O50" s="18">
        <f t="shared" ca="1" si="3"/>
        <v>-2.7627483052606858E-2</v>
      </c>
      <c r="Q50" s="42">
        <f t="shared" si="4"/>
        <v>22329.773000000001</v>
      </c>
      <c r="AA50" s="18" t="s">
        <v>27</v>
      </c>
      <c r="AE50" s="18" t="s">
        <v>29</v>
      </c>
    </row>
    <row r="51" spans="1:31" s="18" customFormat="1" ht="12.95" customHeight="1">
      <c r="A51" s="18" t="s">
        <v>28</v>
      </c>
      <c r="C51" s="46">
        <v>37559.536999999997</v>
      </c>
      <c r="D51" s="41"/>
      <c r="E51" s="18">
        <f t="shared" si="0"/>
        <v>1537.9834957836376</v>
      </c>
      <c r="F51" s="18">
        <f t="shared" si="1"/>
        <v>1538</v>
      </c>
      <c r="G51" s="18">
        <f t="shared" si="2"/>
        <v>-0.1452900000003865</v>
      </c>
      <c r="I51" s="18">
        <f t="shared" si="6"/>
        <v>-0.1452900000003865</v>
      </c>
      <c r="O51" s="18">
        <f t="shared" ca="1" si="3"/>
        <v>-2.8359479697694437E-2</v>
      </c>
      <c r="Q51" s="42">
        <f t="shared" si="4"/>
        <v>22541.036999999997</v>
      </c>
      <c r="AA51" s="18" t="s">
        <v>27</v>
      </c>
      <c r="AE51" s="18" t="s">
        <v>29</v>
      </c>
    </row>
    <row r="52" spans="1:31" s="18" customFormat="1" ht="12.95" customHeight="1">
      <c r="A52" s="18" t="s">
        <v>32</v>
      </c>
      <c r="C52" s="46">
        <v>42005.32</v>
      </c>
      <c r="D52" s="41"/>
      <c r="E52" s="18">
        <f t="shared" si="0"/>
        <v>2043.0021793199182</v>
      </c>
      <c r="F52" s="18">
        <f t="shared" si="1"/>
        <v>2043</v>
      </c>
      <c r="G52" s="18">
        <f t="shared" si="2"/>
        <v>1.9185000004654285E-2</v>
      </c>
      <c r="I52" s="18">
        <f t="shared" si="6"/>
        <v>1.9185000004654285E-2</v>
      </c>
      <c r="O52" s="18">
        <f t="shared" ca="1" si="3"/>
        <v>-4.3761909104745519E-2</v>
      </c>
      <c r="Q52" s="42">
        <f t="shared" si="4"/>
        <v>26986.82</v>
      </c>
      <c r="AA52" s="18" t="s">
        <v>30</v>
      </c>
      <c r="AB52" s="18">
        <v>8</v>
      </c>
      <c r="AC52" s="18" t="s">
        <v>31</v>
      </c>
      <c r="AE52" s="18" t="s">
        <v>33</v>
      </c>
    </row>
    <row r="53" spans="1:31" s="18" customFormat="1" ht="12.95" customHeight="1">
      <c r="A53" s="47" t="s">
        <v>34</v>
      </c>
      <c r="B53" s="47"/>
      <c r="C53" s="48">
        <v>42454.285000000003</v>
      </c>
      <c r="D53" s="49"/>
      <c r="E53" s="18">
        <f t="shared" si="0"/>
        <v>2094.0023548241811</v>
      </c>
      <c r="F53" s="18">
        <f t="shared" si="1"/>
        <v>2094</v>
      </c>
      <c r="G53" s="18">
        <f t="shared" si="2"/>
        <v>2.0730000003823079E-2</v>
      </c>
      <c r="I53" s="18">
        <f t="shared" si="6"/>
        <v>2.0730000003823079E-2</v>
      </c>
      <c r="O53" s="18">
        <f t="shared" ca="1" si="3"/>
        <v>-4.5317401975556615E-2</v>
      </c>
      <c r="Q53" s="42">
        <f t="shared" si="4"/>
        <v>27435.785000000003</v>
      </c>
      <c r="AA53" s="18" t="s">
        <v>30</v>
      </c>
      <c r="AB53" s="18">
        <v>8</v>
      </c>
      <c r="AC53" s="18" t="s">
        <v>31</v>
      </c>
      <c r="AE53" s="18" t="s">
        <v>33</v>
      </c>
    </row>
    <row r="54" spans="1:31" s="18" customFormat="1" ht="12.95" customHeight="1">
      <c r="A54" s="47" t="s">
        <v>35</v>
      </c>
      <c r="B54" s="47"/>
      <c r="C54" s="48">
        <v>42621.512999999999</v>
      </c>
      <c r="D54" s="49"/>
      <c r="E54" s="18">
        <f t="shared" si="0"/>
        <v>2112.9986181169243</v>
      </c>
      <c r="F54" s="18">
        <f t="shared" si="1"/>
        <v>2113</v>
      </c>
      <c r="G54" s="18">
        <f t="shared" si="2"/>
        <v>-1.2165000000095461E-2</v>
      </c>
      <c r="I54" s="18">
        <f t="shared" si="6"/>
        <v>-1.2165000000095461E-2</v>
      </c>
      <c r="O54" s="18">
        <f t="shared" ca="1" si="3"/>
        <v>-4.5896899319584281E-2</v>
      </c>
      <c r="Q54" s="42">
        <f t="shared" si="4"/>
        <v>27603.012999999999</v>
      </c>
      <c r="AA54" s="18" t="s">
        <v>30</v>
      </c>
      <c r="AB54" s="18">
        <v>9</v>
      </c>
      <c r="AC54" s="18" t="s">
        <v>31</v>
      </c>
      <c r="AE54" s="18" t="s">
        <v>33</v>
      </c>
    </row>
    <row r="55" spans="1:31" s="18" customFormat="1" ht="12.95" customHeight="1">
      <c r="A55" s="47" t="s">
        <v>36</v>
      </c>
      <c r="B55" s="47"/>
      <c r="C55" s="48">
        <v>43739.527000000002</v>
      </c>
      <c r="D55" s="49"/>
      <c r="E55" s="18">
        <f t="shared" ref="E55:E64" si="7">+(C55-C$7)/C$8</f>
        <v>2239.9994093060427</v>
      </c>
      <c r="F55" s="18">
        <f t="shared" ref="F55:F64" si="8">ROUND(2*E55,0)/2</f>
        <v>2240</v>
      </c>
      <c r="G55" s="18">
        <f t="shared" ref="G55:G64" si="9">+C55-(C$7+F55*C$8)</f>
        <v>-5.1999999996041879E-3</v>
      </c>
      <c r="I55" s="18">
        <f t="shared" ref="I55:I64" si="10">+G55</f>
        <v>-5.1999999996041879E-3</v>
      </c>
      <c r="O55" s="18">
        <f t="shared" ref="O55:O64" ca="1" si="11">+C$11+C$12*F55</f>
        <v>-4.9770381566506039E-2</v>
      </c>
      <c r="Q55" s="42">
        <f t="shared" ref="Q55:Q64" si="12">+C55-15018.5</f>
        <v>28721.027000000002</v>
      </c>
      <c r="AA55" s="18" t="s">
        <v>30</v>
      </c>
      <c r="AB55" s="18">
        <v>6</v>
      </c>
      <c r="AC55" s="18" t="s">
        <v>31</v>
      </c>
      <c r="AE55" s="18" t="s">
        <v>33</v>
      </c>
    </row>
    <row r="56" spans="1:31" s="18" customFormat="1" ht="12.95" customHeight="1">
      <c r="A56" s="47" t="s">
        <v>37</v>
      </c>
      <c r="B56" s="47"/>
      <c r="C56" s="48">
        <v>44452.595999999998</v>
      </c>
      <c r="D56" s="49"/>
      <c r="E56" s="18">
        <f t="shared" si="7"/>
        <v>2321.0004765309905</v>
      </c>
      <c r="F56" s="18">
        <f t="shared" si="8"/>
        <v>2321</v>
      </c>
      <c r="G56" s="18">
        <f t="shared" si="9"/>
        <v>4.1949999940698035E-3</v>
      </c>
      <c r="I56" s="18">
        <f t="shared" si="10"/>
        <v>4.1949999940698035E-3</v>
      </c>
      <c r="O56" s="18">
        <f t="shared" ca="1" si="11"/>
        <v>-5.2240870243676615E-2</v>
      </c>
      <c r="Q56" s="42">
        <f t="shared" si="12"/>
        <v>29434.095999999998</v>
      </c>
      <c r="AA56" s="18" t="s">
        <v>30</v>
      </c>
      <c r="AB56" s="18">
        <v>11</v>
      </c>
      <c r="AC56" s="18" t="s">
        <v>31</v>
      </c>
      <c r="AE56" s="18" t="s">
        <v>33</v>
      </c>
    </row>
    <row r="57" spans="1:31" s="18" customFormat="1" ht="12.95" customHeight="1">
      <c r="A57" s="47" t="s">
        <v>39</v>
      </c>
      <c r="B57" s="47"/>
      <c r="C57" s="48">
        <v>44910.349000000002</v>
      </c>
      <c r="D57" s="49"/>
      <c r="E57" s="18">
        <f t="shared" si="7"/>
        <v>2372.9989248234028</v>
      </c>
      <c r="F57" s="18">
        <f t="shared" si="8"/>
        <v>2373</v>
      </c>
      <c r="G57" s="18">
        <f t="shared" si="9"/>
        <v>-9.4649999955436215E-3</v>
      </c>
      <c r="I57" s="18">
        <f t="shared" si="10"/>
        <v>-9.4649999955436215E-3</v>
      </c>
      <c r="O57" s="18">
        <f t="shared" ca="1" si="11"/>
        <v>-5.3826862974699699E-2</v>
      </c>
      <c r="Q57" s="42">
        <f t="shared" si="12"/>
        <v>29891.849000000002</v>
      </c>
      <c r="AA57" s="18" t="s">
        <v>30</v>
      </c>
      <c r="AB57" s="18">
        <v>6</v>
      </c>
      <c r="AC57" s="18" t="s">
        <v>38</v>
      </c>
      <c r="AE57" s="18" t="s">
        <v>33</v>
      </c>
    </row>
    <row r="58" spans="1:31" s="18" customFormat="1" ht="12.95" customHeight="1">
      <c r="A58" s="47" t="s">
        <v>40</v>
      </c>
      <c r="B58" s="47"/>
      <c r="C58" s="48">
        <v>45526.523000000001</v>
      </c>
      <c r="D58" s="49"/>
      <c r="E58" s="18">
        <f t="shared" si="7"/>
        <v>2442.9932053155644</v>
      </c>
      <c r="F58" s="18">
        <f t="shared" si="8"/>
        <v>2443</v>
      </c>
      <c r="G58" s="18">
        <f t="shared" si="9"/>
        <v>-5.9815000000526197E-2</v>
      </c>
      <c r="I58" s="18">
        <f t="shared" si="10"/>
        <v>-5.9815000000526197E-2</v>
      </c>
      <c r="O58" s="18">
        <f t="shared" ca="1" si="11"/>
        <v>-5.596185318953846E-2</v>
      </c>
      <c r="Q58" s="42">
        <f t="shared" si="12"/>
        <v>30508.023000000001</v>
      </c>
      <c r="AA58" s="18" t="s">
        <v>30</v>
      </c>
      <c r="AB58" s="18">
        <v>8</v>
      </c>
      <c r="AC58" s="18" t="s">
        <v>31</v>
      </c>
      <c r="AE58" s="18" t="s">
        <v>33</v>
      </c>
    </row>
    <row r="59" spans="1:31" s="18" customFormat="1" ht="12.95" customHeight="1">
      <c r="A59" s="47" t="s">
        <v>41</v>
      </c>
      <c r="B59" s="47"/>
      <c r="C59" s="48">
        <v>45711.406999999999</v>
      </c>
      <c r="D59" s="49"/>
      <c r="E59" s="18">
        <f t="shared" si="7"/>
        <v>2463.9951017839526</v>
      </c>
      <c r="F59" s="18">
        <f t="shared" si="8"/>
        <v>2464</v>
      </c>
      <c r="G59" s="18">
        <f t="shared" si="9"/>
        <v>-4.3120000002090819E-2</v>
      </c>
      <c r="I59" s="18">
        <f t="shared" si="10"/>
        <v>-4.3120000002090819E-2</v>
      </c>
      <c r="O59" s="18">
        <f t="shared" ca="1" si="11"/>
        <v>-5.6602350253990089E-2</v>
      </c>
      <c r="Q59" s="42">
        <f t="shared" si="12"/>
        <v>30692.906999999999</v>
      </c>
      <c r="AA59" s="18" t="s">
        <v>30</v>
      </c>
      <c r="AB59" s="18">
        <v>8</v>
      </c>
      <c r="AC59" s="18" t="s">
        <v>31</v>
      </c>
      <c r="AE59" s="18" t="s">
        <v>33</v>
      </c>
    </row>
    <row r="60" spans="1:31" s="18" customFormat="1" ht="12.95" customHeight="1">
      <c r="A60" s="47" t="s">
        <v>42</v>
      </c>
      <c r="B60" s="47"/>
      <c r="C60" s="48">
        <v>46072.27</v>
      </c>
      <c r="D60" s="49"/>
      <c r="E60" s="18">
        <f t="shared" si="7"/>
        <v>2504.9873313185367</v>
      </c>
      <c r="F60" s="18">
        <f t="shared" si="8"/>
        <v>2505</v>
      </c>
      <c r="G60" s="18">
        <f t="shared" si="9"/>
        <v>-0.11152500000753207</v>
      </c>
      <c r="I60" s="18">
        <f t="shared" si="10"/>
        <v>-0.11152500000753207</v>
      </c>
      <c r="O60" s="18">
        <f t="shared" ca="1" si="11"/>
        <v>-5.7852844522681371E-2</v>
      </c>
      <c r="Q60" s="42">
        <f t="shared" si="12"/>
        <v>31053.769999999997</v>
      </c>
      <c r="AA60" s="18" t="s">
        <v>30</v>
      </c>
      <c r="AB60" s="18">
        <v>5</v>
      </c>
      <c r="AC60" s="18" t="s">
        <v>31</v>
      </c>
      <c r="AE60" s="18" t="s">
        <v>33</v>
      </c>
    </row>
    <row r="61" spans="1:31" s="18" customFormat="1" ht="12.95" customHeight="1">
      <c r="A61" s="47" t="s">
        <v>47</v>
      </c>
      <c r="B61" s="50" t="s">
        <v>48</v>
      </c>
      <c r="C61" s="49">
        <v>50438.678</v>
      </c>
      <c r="D61" s="49"/>
      <c r="E61" s="18">
        <f t="shared" si="7"/>
        <v>3000.9894123787872</v>
      </c>
      <c r="F61" s="18">
        <f t="shared" si="8"/>
        <v>3001</v>
      </c>
      <c r="G61" s="18">
        <f t="shared" si="9"/>
        <v>-9.3204999997396953E-2</v>
      </c>
      <c r="I61" s="18">
        <f t="shared" si="10"/>
        <v>-9.3204999997396953E-2</v>
      </c>
      <c r="O61" s="18">
        <f t="shared" ca="1" si="11"/>
        <v>-7.2980775187824615E-2</v>
      </c>
      <c r="Q61" s="42">
        <f t="shared" si="12"/>
        <v>35420.178</v>
      </c>
    </row>
    <row r="62" spans="1:31" s="18" customFormat="1" ht="12.95" customHeight="1">
      <c r="A62" s="51" t="s">
        <v>0</v>
      </c>
      <c r="B62" s="52" t="s">
        <v>48</v>
      </c>
      <c r="C62" s="53">
        <v>53229.289299999997</v>
      </c>
      <c r="D62" s="54">
        <v>4.3999999999999997E-2</v>
      </c>
      <c r="E62" s="18">
        <f t="shared" si="7"/>
        <v>3317.9888801862498</v>
      </c>
      <c r="F62" s="18">
        <f t="shared" si="8"/>
        <v>3318</v>
      </c>
      <c r="G62" s="18">
        <f t="shared" si="9"/>
        <v>-9.7890000004554167E-2</v>
      </c>
      <c r="K62" s="18">
        <f>+G62</f>
        <v>-9.7890000004554167E-2</v>
      </c>
      <c r="O62" s="18">
        <f t="shared" ca="1" si="11"/>
        <v>-8.2649230875023016E-2</v>
      </c>
      <c r="Q62" s="42">
        <f t="shared" si="12"/>
        <v>38210.789299999997</v>
      </c>
    </row>
    <row r="63" spans="1:31" s="18" customFormat="1" ht="12.95" customHeight="1">
      <c r="A63" s="51" t="s">
        <v>0</v>
      </c>
      <c r="B63" s="52" t="s">
        <v>48</v>
      </c>
      <c r="C63" s="53">
        <v>54056.7978</v>
      </c>
      <c r="D63" s="54">
        <v>2.64E-2</v>
      </c>
      <c r="E63" s="18">
        <f t="shared" si="7"/>
        <v>3411.9897014780413</v>
      </c>
      <c r="F63" s="18">
        <f t="shared" si="8"/>
        <v>3412</v>
      </c>
      <c r="G63" s="18">
        <f t="shared" si="9"/>
        <v>-9.0660000001662411E-2</v>
      </c>
      <c r="K63" s="18">
        <f>+G63</f>
        <v>-9.0660000001662411E-2</v>
      </c>
      <c r="O63" s="18">
        <f t="shared" ca="1" si="11"/>
        <v>-8.5516217734949357E-2</v>
      </c>
      <c r="Q63" s="42">
        <f t="shared" si="12"/>
        <v>39038.2978</v>
      </c>
    </row>
    <row r="64" spans="1:31" s="18" customFormat="1" ht="12.95" customHeight="1">
      <c r="A64" s="43" t="s">
        <v>226</v>
      </c>
      <c r="B64" s="44" t="s">
        <v>48</v>
      </c>
      <c r="C64" s="45">
        <v>54831.484600000003</v>
      </c>
      <c r="D64" s="45" t="s">
        <v>67</v>
      </c>
      <c r="E64" s="18">
        <f t="shared" si="7"/>
        <v>3499.9902421902029</v>
      </c>
      <c r="F64" s="18">
        <f t="shared" si="8"/>
        <v>3500</v>
      </c>
      <c r="G64" s="18">
        <f t="shared" si="9"/>
        <v>-8.5899999998218846E-2</v>
      </c>
      <c r="I64" s="18">
        <f t="shared" si="10"/>
        <v>-8.5899999998218846E-2</v>
      </c>
      <c r="O64" s="18">
        <f t="shared" ca="1" si="11"/>
        <v>-8.8200205433603796E-2</v>
      </c>
      <c r="Q64" s="42">
        <f t="shared" si="12"/>
        <v>39812.984600000003</v>
      </c>
    </row>
    <row r="65" spans="2:4" s="18" customFormat="1" ht="12.95" customHeight="1">
      <c r="B65" s="28"/>
      <c r="C65" s="41"/>
      <c r="D65" s="41"/>
    </row>
    <row r="66" spans="2:4" s="18" customFormat="1" ht="12.95" customHeight="1">
      <c r="C66" s="41"/>
      <c r="D66" s="41"/>
    </row>
    <row r="67" spans="2:4" s="18" customFormat="1" ht="12.95" customHeight="1">
      <c r="C67" s="41"/>
      <c r="D67" s="41"/>
    </row>
    <row r="68" spans="2:4" s="18" customFormat="1" ht="12.95" customHeight="1">
      <c r="C68" s="41"/>
      <c r="D68" s="41"/>
    </row>
    <row r="69" spans="2:4" s="18" customFormat="1" ht="12.95" customHeight="1">
      <c r="C69" s="41"/>
      <c r="D69" s="41"/>
    </row>
    <row r="70" spans="2:4" s="18" customFormat="1" ht="12.95" customHeight="1">
      <c r="C70" s="41"/>
      <c r="D70" s="41"/>
    </row>
    <row r="71" spans="2:4" s="18" customFormat="1" ht="12.95" customHeight="1">
      <c r="C71" s="41"/>
      <c r="D71" s="41"/>
    </row>
    <row r="72" spans="2:4" s="18" customFormat="1" ht="12.95" customHeight="1">
      <c r="C72" s="41"/>
      <c r="D72" s="41"/>
    </row>
    <row r="73" spans="2:4" s="18" customFormat="1" ht="12.95" customHeight="1">
      <c r="C73" s="41"/>
      <c r="D73" s="41"/>
    </row>
    <row r="74" spans="2:4" s="18" customFormat="1" ht="12.95" customHeight="1">
      <c r="C74" s="41"/>
      <c r="D74" s="41"/>
    </row>
    <row r="75" spans="2:4" s="18" customFormat="1" ht="12.95" customHeight="1">
      <c r="C75" s="41"/>
      <c r="D75" s="41"/>
    </row>
    <row r="76" spans="2:4" s="18" customFormat="1" ht="12.95" customHeight="1">
      <c r="C76" s="41"/>
      <c r="D76" s="41"/>
    </row>
    <row r="77" spans="2:4" s="18" customFormat="1" ht="12.95" customHeight="1">
      <c r="C77" s="41"/>
      <c r="D77" s="41"/>
    </row>
    <row r="78" spans="2:4" s="18" customFormat="1" ht="12.95" customHeight="1">
      <c r="C78" s="41"/>
      <c r="D78" s="41"/>
    </row>
    <row r="79" spans="2:4" s="18" customFormat="1" ht="12.95" customHeight="1">
      <c r="C79" s="41"/>
      <c r="D79" s="41"/>
    </row>
    <row r="80" spans="2:4" s="18" customFormat="1" ht="12.95" customHeight="1"/>
    <row r="81" s="18" customFormat="1" ht="12.95" customHeight="1"/>
    <row r="82" s="18" customFormat="1" ht="12.95" customHeight="1"/>
    <row r="83" s="18" customFormat="1" ht="12.95" customHeight="1"/>
    <row r="84" s="18" customFormat="1" ht="12.95" customHeight="1"/>
    <row r="85" s="18" customFormat="1" ht="12.95" customHeight="1"/>
    <row r="86" s="18" customFormat="1" ht="12.95" customHeight="1"/>
    <row r="87" s="18" customFormat="1" ht="12.95" customHeight="1"/>
    <row r="88" s="18" customFormat="1" ht="12.95" customHeight="1"/>
    <row r="89" s="18" customFormat="1" ht="12.95" customHeight="1"/>
    <row r="90" s="18" customFormat="1" ht="12.95" customHeight="1"/>
    <row r="91" s="18" customFormat="1" ht="12.95" customHeight="1"/>
    <row r="92" s="18" customFormat="1" ht="12.95" customHeight="1"/>
    <row r="93" s="18" customFormat="1" ht="12.95" customHeight="1"/>
    <row r="94" s="18" customFormat="1" ht="12.95" customHeight="1"/>
    <row r="95" s="18" customFormat="1" ht="12.95" customHeight="1"/>
    <row r="96" s="18" customFormat="1" ht="12.95" customHeight="1"/>
    <row r="97" s="18" customFormat="1" ht="12.95" customHeight="1"/>
    <row r="98" s="18" customFormat="1" ht="12.95" customHeight="1"/>
    <row r="99" s="18" customFormat="1" ht="12.95" customHeight="1"/>
    <row r="100" s="18" customFormat="1" ht="12.95" customHeight="1"/>
    <row r="101" s="18" customFormat="1" ht="12.95" customHeight="1"/>
    <row r="102" s="18" customFormat="1" ht="12.95" customHeight="1"/>
    <row r="103" s="18" customFormat="1" ht="12.95" customHeight="1"/>
    <row r="104" s="18" customFormat="1" ht="12.95" customHeight="1"/>
    <row r="105" s="18" customFormat="1" ht="12.95" customHeight="1"/>
    <row r="106" s="18" customFormat="1" ht="12.95" customHeight="1"/>
    <row r="107" s="18" customFormat="1" ht="12.95" customHeight="1"/>
    <row r="108" s="18" customFormat="1" ht="12.95" customHeight="1"/>
    <row r="109" s="18" customFormat="1" ht="12.95" customHeight="1"/>
    <row r="110" s="18" customFormat="1" ht="12.95" customHeight="1"/>
    <row r="111" s="18" customFormat="1" ht="12.95" customHeight="1"/>
    <row r="112" s="18" customFormat="1" ht="12.95" customHeight="1"/>
    <row r="113" s="18" customFormat="1" ht="12.95" customHeight="1"/>
    <row r="114" s="18" customFormat="1" ht="12.95" customHeight="1"/>
    <row r="115" s="18" customFormat="1" ht="12.95" customHeight="1"/>
    <row r="116" s="18" customFormat="1" ht="12.95" customHeight="1"/>
    <row r="117" s="18" customFormat="1" ht="12.95" customHeight="1"/>
    <row r="118" s="18" customFormat="1" ht="12.95" customHeight="1"/>
    <row r="119" s="18" customFormat="1" ht="12.95" customHeight="1"/>
    <row r="120" s="18" customFormat="1" ht="12.95" customHeight="1"/>
    <row r="121" s="18" customFormat="1" ht="12.95" customHeight="1"/>
    <row r="122" s="18" customFormat="1" ht="12.95" customHeight="1"/>
    <row r="123" s="18" customFormat="1" ht="12.95" customHeight="1"/>
    <row r="124" s="18" customFormat="1" ht="12.95" customHeight="1"/>
    <row r="125" s="18" customFormat="1" ht="12.95" customHeight="1"/>
    <row r="126" s="18" customFormat="1" ht="12.95" customHeight="1"/>
    <row r="127" s="18" customFormat="1" ht="12.95" customHeight="1"/>
    <row r="128" s="18" customFormat="1" ht="12.95" customHeight="1"/>
    <row r="129" s="18" customFormat="1" ht="12.95" customHeight="1"/>
    <row r="130" s="18" customFormat="1" ht="12.95" customHeight="1"/>
    <row r="131" s="18" customFormat="1" ht="12.95" customHeight="1"/>
    <row r="132" s="18" customFormat="1" ht="12.95" customHeight="1"/>
    <row r="133" s="18" customFormat="1" ht="12.95" customHeight="1"/>
    <row r="134" s="18" customFormat="1" ht="12.95" customHeight="1"/>
    <row r="135" s="18" customFormat="1" ht="12.95" customHeight="1"/>
    <row r="136" s="18" customFormat="1" ht="12.95" customHeight="1"/>
    <row r="137" s="18" customFormat="1" ht="12.95" customHeight="1"/>
    <row r="138" s="18" customFormat="1" ht="12.95" customHeight="1"/>
    <row r="139" s="18" customFormat="1" ht="12.95" customHeight="1"/>
    <row r="140" s="18" customFormat="1" ht="12.95" customHeight="1"/>
    <row r="141" s="18" customFormat="1" ht="12.95" customHeight="1"/>
    <row r="142" s="18" customFormat="1" ht="12.95" customHeight="1"/>
    <row r="143" s="18" customFormat="1" ht="12.95" customHeight="1"/>
    <row r="144" s="18" customFormat="1" ht="12.95" customHeight="1"/>
    <row r="145" s="18" customFormat="1" ht="12.95" customHeight="1"/>
    <row r="146" s="18" customFormat="1" ht="12.95" customHeight="1"/>
    <row r="147" s="18" customFormat="1" ht="12.95" customHeight="1"/>
    <row r="148" s="18" customFormat="1" ht="12.95" customHeight="1"/>
    <row r="149" s="18" customFormat="1" ht="12.95" customHeight="1"/>
    <row r="150" s="18" customFormat="1" ht="12.95" customHeight="1"/>
    <row r="151" s="18" customFormat="1" ht="12.95" customHeight="1"/>
    <row r="152" s="18" customFormat="1" ht="12.95" customHeight="1"/>
    <row r="153" s="18" customFormat="1" ht="12.95" customHeight="1"/>
    <row r="154" s="18" customFormat="1" ht="12.95" customHeight="1"/>
    <row r="155" s="18" customFormat="1" ht="12.95" customHeight="1"/>
    <row r="156" s="18" customFormat="1" ht="12.95" customHeight="1"/>
    <row r="157" s="18" customFormat="1" ht="12.95" customHeight="1"/>
    <row r="158" s="18" customFormat="1" ht="12.95" customHeight="1"/>
    <row r="159" s="18" customFormat="1" ht="12.95" customHeight="1"/>
    <row r="160" s="18" customFormat="1" ht="12.95" customHeight="1"/>
    <row r="161" s="18" customFormat="1" ht="12.95" customHeight="1"/>
    <row r="162" s="18" customFormat="1" ht="12.95" customHeight="1"/>
    <row r="163" s="18" customFormat="1" ht="12.95" customHeight="1"/>
    <row r="164" s="18" customFormat="1" ht="12.95" customHeight="1"/>
    <row r="165" s="18" customFormat="1" ht="12.95" customHeight="1"/>
    <row r="166" s="18" customFormat="1" ht="12.95" customHeight="1"/>
    <row r="167" s="18" customFormat="1" ht="12.95" customHeight="1"/>
    <row r="168" s="18" customFormat="1" ht="12.95" customHeight="1"/>
    <row r="169" s="18" customFormat="1" ht="12.95" customHeight="1"/>
    <row r="170" s="18" customFormat="1" ht="12.95" customHeight="1"/>
    <row r="171" s="18" customFormat="1" ht="12.95" customHeight="1"/>
    <row r="172" s="18" customFormat="1" ht="12.95" customHeight="1"/>
    <row r="173" s="18" customFormat="1" ht="12.95" customHeight="1"/>
    <row r="174" s="18" customFormat="1" ht="12.95" customHeight="1"/>
    <row r="175" s="18" customFormat="1" ht="12.95" customHeight="1"/>
    <row r="176" s="18" customFormat="1" ht="12.95" customHeight="1"/>
    <row r="177" s="18" customFormat="1" ht="12.95" customHeight="1"/>
    <row r="178" s="18" customFormat="1" ht="12.95" customHeight="1"/>
    <row r="179" s="18" customFormat="1" ht="12.95" customHeight="1"/>
    <row r="180" s="18" customFormat="1" ht="12.95" customHeight="1"/>
    <row r="181" s="18" customFormat="1" ht="12.95" customHeight="1"/>
    <row r="182" s="18" customFormat="1" ht="12.95" customHeight="1"/>
    <row r="183" s="18" customFormat="1" ht="12.95" customHeight="1"/>
    <row r="184" s="18" customFormat="1" ht="12.95" customHeight="1"/>
    <row r="185" s="18" customFormat="1" ht="12.95" customHeight="1"/>
    <row r="186" s="18" customFormat="1" ht="12.95" customHeight="1"/>
    <row r="187" s="18" customFormat="1" ht="12.95" customHeight="1"/>
    <row r="188" s="18" customFormat="1" ht="12.95" customHeight="1"/>
    <row r="189" s="18" customFormat="1" ht="12.95" customHeight="1"/>
    <row r="190" s="18" customFormat="1" ht="12.95" customHeight="1"/>
    <row r="191" s="18" customFormat="1" ht="12.95" customHeight="1"/>
    <row r="192" s="18" customFormat="1" ht="12.95" customHeight="1"/>
    <row r="193" s="18" customFormat="1" ht="12.95" customHeight="1"/>
    <row r="194" s="18" customFormat="1" ht="12.95" customHeight="1"/>
    <row r="195" s="18" customFormat="1" ht="12.95" customHeight="1"/>
    <row r="196" s="18" customFormat="1" ht="12.95" customHeight="1"/>
    <row r="197" s="18" customFormat="1" ht="12.95" customHeight="1"/>
    <row r="198" s="18" customFormat="1" ht="12.95" customHeight="1"/>
    <row r="199" s="18" customFormat="1" ht="12.95" customHeight="1"/>
    <row r="200" s="18" customFormat="1" ht="12.95" customHeight="1"/>
    <row r="201" s="18" customFormat="1" ht="12.95" customHeight="1"/>
    <row r="202" s="18" customFormat="1" ht="12.95" customHeight="1"/>
    <row r="203" s="18" customFormat="1" ht="12.95" customHeight="1"/>
    <row r="204" s="18" customFormat="1" ht="12.95" customHeight="1"/>
    <row r="205" s="18" customFormat="1" ht="12.95" customHeight="1"/>
    <row r="206" s="18" customFormat="1" ht="12.95" customHeight="1"/>
    <row r="207" s="18" customFormat="1" ht="12.95" customHeight="1"/>
    <row r="208" s="18" customFormat="1" ht="12.95" customHeight="1"/>
    <row r="209" s="18" customFormat="1" ht="12.95" customHeight="1"/>
    <row r="210" s="18" customFormat="1" ht="12.95" customHeight="1"/>
    <row r="211" s="18" customFormat="1" ht="12.95" customHeight="1"/>
    <row r="212" s="18" customFormat="1" ht="12.95" customHeight="1"/>
    <row r="213" s="18" customFormat="1" ht="12.95" customHeight="1"/>
    <row r="214" s="18" customFormat="1" ht="12.95" customHeight="1"/>
    <row r="215" s="18" customFormat="1" ht="12.95" customHeight="1"/>
    <row r="216" s="18" customFormat="1" ht="12.95" customHeight="1"/>
    <row r="217" s="18" customFormat="1" ht="12.95" customHeight="1"/>
    <row r="218" s="18" customFormat="1" ht="12.95" customHeight="1"/>
    <row r="219" s="18" customFormat="1" ht="12.95" customHeight="1"/>
    <row r="220" s="18" customFormat="1" ht="12.95" customHeight="1"/>
    <row r="221" s="18" customFormat="1" ht="12.95" customHeight="1"/>
    <row r="222" s="18" customFormat="1" ht="12.95" customHeight="1"/>
    <row r="223" s="18" customFormat="1" ht="12.95" customHeight="1"/>
    <row r="224" s="18" customFormat="1" ht="12.95" customHeight="1"/>
    <row r="225" s="18" customFormat="1" ht="12.95" customHeight="1"/>
    <row r="226" s="18" customFormat="1" ht="12.95" customHeight="1"/>
    <row r="227" s="18" customFormat="1" ht="12.95" customHeight="1"/>
    <row r="228" s="18" customFormat="1" ht="12.95" customHeight="1"/>
    <row r="229" s="18" customFormat="1" ht="12.95" customHeight="1"/>
    <row r="230" s="18" customFormat="1" ht="12.95" customHeight="1"/>
    <row r="231" s="18" customFormat="1" ht="12.95" customHeight="1"/>
    <row r="232" s="18" customFormat="1" ht="12.95" customHeight="1"/>
    <row r="233" s="18" customFormat="1" ht="12.95" customHeight="1"/>
    <row r="234" s="18" customFormat="1" ht="12.95" customHeight="1"/>
    <row r="235" s="18" customFormat="1" ht="12.95" customHeight="1"/>
    <row r="236" s="18" customFormat="1" ht="12.95" customHeight="1"/>
    <row r="237" s="18" customFormat="1" ht="12.95" customHeight="1"/>
    <row r="238" s="18" customFormat="1" ht="12.95" customHeight="1"/>
    <row r="239" s="18" customFormat="1" ht="12.95" customHeight="1"/>
    <row r="240" s="18" customFormat="1" ht="12.95" customHeight="1"/>
    <row r="241" s="18" customFormat="1" ht="12.95" customHeight="1"/>
    <row r="242" s="18" customFormat="1" ht="12.95" customHeight="1"/>
    <row r="243" s="18" customFormat="1" ht="12.95" customHeight="1"/>
    <row r="244" s="18" customFormat="1" ht="12.95" customHeight="1"/>
    <row r="245" s="18" customFormat="1" ht="12.95" customHeight="1"/>
    <row r="246" s="18" customFormat="1" ht="12.95" customHeight="1"/>
    <row r="247" s="18" customFormat="1" ht="12.95" customHeight="1"/>
    <row r="248" s="18" customFormat="1" ht="12.95" customHeight="1"/>
    <row r="249" s="18" customFormat="1" ht="12.95" customHeight="1"/>
    <row r="250" s="18" customFormat="1" ht="12.95" customHeight="1"/>
    <row r="251" s="18" customFormat="1" ht="12.95" customHeight="1"/>
    <row r="252" s="18" customFormat="1" ht="12.95" customHeight="1"/>
    <row r="253" s="18" customFormat="1" ht="12.95" customHeight="1"/>
    <row r="254" s="18" customFormat="1" ht="12.95" customHeight="1"/>
    <row r="255" s="18" customFormat="1" ht="12.95" customHeight="1"/>
    <row r="256" s="18" customFormat="1" ht="12.95" customHeight="1"/>
    <row r="257" s="18" customFormat="1" ht="12.95" customHeight="1"/>
    <row r="258" s="18" customFormat="1" ht="12.95" customHeight="1"/>
    <row r="259" s="18" customFormat="1" ht="12.95" customHeight="1"/>
    <row r="260" s="18" customFormat="1" ht="12.95" customHeight="1"/>
    <row r="261" s="18" customFormat="1" ht="12.95" customHeight="1"/>
    <row r="262" s="18" customFormat="1" ht="12.95" customHeight="1"/>
    <row r="263" s="18" customFormat="1" ht="12.95" customHeight="1"/>
    <row r="264" s="18" customFormat="1" ht="12.95" customHeight="1"/>
    <row r="265" s="18" customFormat="1" ht="12.95" customHeight="1"/>
    <row r="266" s="18" customFormat="1" ht="12.95" customHeight="1"/>
    <row r="267" s="18" customFormat="1" ht="12.95" customHeight="1"/>
    <row r="268" s="18" customFormat="1" ht="12.95" customHeight="1"/>
    <row r="269" s="18" customFormat="1" ht="12.95" customHeight="1"/>
    <row r="270" s="18" customFormat="1" ht="12.95" customHeight="1"/>
    <row r="271" s="18" customFormat="1" ht="12.95" customHeight="1"/>
    <row r="272" s="18" customFormat="1" ht="12.95" customHeight="1"/>
    <row r="273" s="18" customFormat="1" ht="12.95" customHeight="1"/>
    <row r="274" s="18" customFormat="1" ht="12.95" customHeight="1"/>
    <row r="275" s="18" customFormat="1" ht="12.95" customHeight="1"/>
    <row r="276" s="18" customFormat="1" ht="12.95" customHeight="1"/>
    <row r="277" s="18" customFormat="1" ht="12.95" customHeight="1"/>
    <row r="278" s="18" customFormat="1" ht="12.95" customHeight="1"/>
    <row r="279" s="18" customFormat="1" ht="12.95" customHeight="1"/>
    <row r="280" s="18" customFormat="1" ht="12.95" customHeight="1"/>
    <row r="281" s="18" customFormat="1" ht="12.95" customHeight="1"/>
    <row r="282" s="18" customFormat="1" ht="12.95" customHeight="1"/>
    <row r="283" s="18" customFormat="1" ht="12.95" customHeight="1"/>
    <row r="284" s="18" customFormat="1" ht="12.95" customHeight="1"/>
    <row r="285" s="18" customFormat="1" ht="12.95" customHeight="1"/>
    <row r="286" s="18" customFormat="1" ht="12.95" customHeight="1"/>
    <row r="287" s="18" customFormat="1" ht="12.95" customHeight="1"/>
    <row r="288" s="18" customFormat="1" ht="12.95" customHeight="1"/>
    <row r="289" s="18" customFormat="1" ht="12.95" customHeight="1"/>
    <row r="290" s="18" customFormat="1" ht="12.95" customHeight="1"/>
    <row r="291" s="18" customFormat="1" ht="12.95" customHeight="1"/>
    <row r="292" s="18" customFormat="1" ht="12.95" customHeight="1"/>
    <row r="293" s="18" customFormat="1" ht="12.95" customHeight="1"/>
    <row r="294" s="18" customFormat="1" ht="12.95" customHeight="1"/>
    <row r="295" s="18" customFormat="1" ht="12.95" customHeight="1"/>
    <row r="296" s="18" customFormat="1" ht="12.95" customHeight="1"/>
    <row r="297" s="18" customFormat="1" ht="12.95" customHeight="1"/>
    <row r="298" s="18" customFormat="1" ht="12.95" customHeight="1"/>
    <row r="299" s="18" customFormat="1" ht="12.95" customHeight="1"/>
  </sheetData>
  <phoneticPr fontId="8" type="noConversion"/>
  <hyperlinks>
    <hyperlink ref="H329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topLeftCell="A13" workbookViewId="0">
      <selection activeCell="A24" sqref="A24:D53"/>
    </sheetView>
  </sheetViews>
  <sheetFormatPr defaultRowHeight="12.75"/>
  <cols>
    <col min="1" max="1" width="19.7109375" style="5" customWidth="1"/>
    <col min="2" max="2" width="4.42578125" style="3" customWidth="1"/>
    <col min="3" max="3" width="12.7109375" style="5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5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4" t="s">
        <v>58</v>
      </c>
      <c r="I1" s="6" t="s">
        <v>59</v>
      </c>
      <c r="J1" s="7" t="s">
        <v>60</v>
      </c>
    </row>
    <row r="2" spans="1:16">
      <c r="I2" s="8" t="s">
        <v>61</v>
      </c>
      <c r="J2" s="9" t="s">
        <v>62</v>
      </c>
    </row>
    <row r="3" spans="1:16">
      <c r="A3" s="10" t="s">
        <v>63</v>
      </c>
      <c r="I3" s="8" t="s">
        <v>64</v>
      </c>
      <c r="J3" s="9" t="s">
        <v>27</v>
      </c>
    </row>
    <row r="4" spans="1:16">
      <c r="I4" s="8" t="s">
        <v>65</v>
      </c>
      <c r="J4" s="9" t="s">
        <v>27</v>
      </c>
    </row>
    <row r="5" spans="1:16" ht="13.5" thickBot="1">
      <c r="I5" s="11" t="s">
        <v>66</v>
      </c>
      <c r="J5" s="12" t="s">
        <v>67</v>
      </c>
    </row>
    <row r="10" spans="1:16" ht="13.5" thickBot="1"/>
    <row r="11" spans="1:16" ht="12.75" customHeight="1" thickBot="1">
      <c r="A11" s="5" t="str">
        <f t="shared" ref="A11:A53" si="0">P11</f>
        <v> MVS 2.122 </v>
      </c>
      <c r="B11" s="2" t="str">
        <f t="shared" ref="B11:B53" si="1">IF(H11=INT(H11),"I","II")</f>
        <v>I</v>
      </c>
      <c r="C11" s="5">
        <f t="shared" ref="C11:C53" si="2">1*G11</f>
        <v>37207.555</v>
      </c>
      <c r="D11" s="3" t="str">
        <f t="shared" ref="D11:D53" si="3">VLOOKUP(F11,I$1:J$5,2,FALSE)</f>
        <v>vis</v>
      </c>
      <c r="E11" s="13">
        <f>VLOOKUP(C11,Active!C$21:E$971,3,FALSE)</f>
        <v>1498.0001033714427</v>
      </c>
      <c r="F11" s="2" t="s">
        <v>66</v>
      </c>
      <c r="G11" s="3" t="str">
        <f t="shared" ref="G11:G53" si="4">MID(I11,3,LEN(I11)-3)</f>
        <v>37207.555</v>
      </c>
      <c r="H11" s="5">
        <f t="shared" ref="H11:H53" si="5">1*K11</f>
        <v>-1738</v>
      </c>
      <c r="I11" s="14" t="s">
        <v>165</v>
      </c>
      <c r="J11" s="15" t="s">
        <v>166</v>
      </c>
      <c r="K11" s="14">
        <v>-1738</v>
      </c>
      <c r="L11" s="14" t="s">
        <v>167</v>
      </c>
      <c r="M11" s="15" t="s">
        <v>86</v>
      </c>
      <c r="N11" s="15"/>
      <c r="O11" s="16" t="s">
        <v>163</v>
      </c>
      <c r="P11" s="16" t="s">
        <v>164</v>
      </c>
    </row>
    <row r="12" spans="1:16" ht="12.75" customHeight="1" thickBot="1">
      <c r="A12" s="5" t="str">
        <f t="shared" si="0"/>
        <v> MVS 2.122 </v>
      </c>
      <c r="B12" s="2" t="str">
        <f t="shared" si="1"/>
        <v>I</v>
      </c>
      <c r="C12" s="5">
        <f t="shared" si="2"/>
        <v>37348.273000000001</v>
      </c>
      <c r="D12" s="3" t="str">
        <f t="shared" si="3"/>
        <v>vis</v>
      </c>
      <c r="E12" s="13">
        <f>VLOOKUP(C12,Active!C$21:E$971,3,FALSE)</f>
        <v>1513.9849634309323</v>
      </c>
      <c r="F12" s="2" t="s">
        <v>66</v>
      </c>
      <c r="G12" s="3" t="str">
        <f t="shared" si="4"/>
        <v>37348.273</v>
      </c>
      <c r="H12" s="5">
        <f t="shared" si="5"/>
        <v>-1722</v>
      </c>
      <c r="I12" s="14" t="s">
        <v>168</v>
      </c>
      <c r="J12" s="15" t="s">
        <v>169</v>
      </c>
      <c r="K12" s="14">
        <v>-1722</v>
      </c>
      <c r="L12" s="14" t="s">
        <v>170</v>
      </c>
      <c r="M12" s="15" t="s">
        <v>86</v>
      </c>
      <c r="N12" s="15"/>
      <c r="O12" s="16" t="s">
        <v>163</v>
      </c>
      <c r="P12" s="16" t="s">
        <v>164</v>
      </c>
    </row>
    <row r="13" spans="1:16" ht="12.75" customHeight="1" thickBot="1">
      <c r="A13" s="5" t="str">
        <f t="shared" si="0"/>
        <v> MVS 2.122 </v>
      </c>
      <c r="B13" s="2" t="str">
        <f t="shared" si="1"/>
        <v>I</v>
      </c>
      <c r="C13" s="5">
        <f t="shared" si="2"/>
        <v>37559.536999999997</v>
      </c>
      <c r="D13" s="3" t="str">
        <f t="shared" si="3"/>
        <v>vis</v>
      </c>
      <c r="E13" s="13">
        <f>VLOOKUP(C13,Active!C$21:E$971,3,FALSE)</f>
        <v>1537.9834957836376</v>
      </c>
      <c r="F13" s="2" t="s">
        <v>66</v>
      </c>
      <c r="G13" s="3" t="str">
        <f t="shared" si="4"/>
        <v>37559.537</v>
      </c>
      <c r="H13" s="5">
        <f t="shared" si="5"/>
        <v>-1698</v>
      </c>
      <c r="I13" s="14" t="s">
        <v>171</v>
      </c>
      <c r="J13" s="15" t="s">
        <v>172</v>
      </c>
      <c r="K13" s="14">
        <v>-1698</v>
      </c>
      <c r="L13" s="14" t="s">
        <v>173</v>
      </c>
      <c r="M13" s="15" t="s">
        <v>86</v>
      </c>
      <c r="N13" s="15"/>
      <c r="O13" s="16" t="s">
        <v>163</v>
      </c>
      <c r="P13" s="16" t="s">
        <v>164</v>
      </c>
    </row>
    <row r="14" spans="1:16" ht="12.75" customHeight="1" thickBot="1">
      <c r="A14" s="5" t="str">
        <f t="shared" si="0"/>
        <v> BBS 12 </v>
      </c>
      <c r="B14" s="2" t="str">
        <f t="shared" si="1"/>
        <v>I</v>
      </c>
      <c r="C14" s="5">
        <f t="shared" si="2"/>
        <v>42005.32</v>
      </c>
      <c r="D14" s="3" t="str">
        <f t="shared" si="3"/>
        <v>vis</v>
      </c>
      <c r="E14" s="13">
        <f>VLOOKUP(C14,Active!C$21:E$971,3,FALSE)</f>
        <v>2043.0021793199182</v>
      </c>
      <c r="F14" s="2" t="s">
        <v>66</v>
      </c>
      <c r="G14" s="3" t="str">
        <f t="shared" si="4"/>
        <v>42005.320</v>
      </c>
      <c r="H14" s="5">
        <f t="shared" si="5"/>
        <v>-1193</v>
      </c>
      <c r="I14" s="14" t="s">
        <v>174</v>
      </c>
      <c r="J14" s="15" t="s">
        <v>175</v>
      </c>
      <c r="K14" s="14">
        <v>-1193</v>
      </c>
      <c r="L14" s="14" t="s">
        <v>91</v>
      </c>
      <c r="M14" s="15" t="s">
        <v>72</v>
      </c>
      <c r="N14" s="15"/>
      <c r="O14" s="16" t="s">
        <v>176</v>
      </c>
      <c r="P14" s="16" t="s">
        <v>177</v>
      </c>
    </row>
    <row r="15" spans="1:16" ht="12.75" customHeight="1" thickBot="1">
      <c r="A15" s="5" t="str">
        <f t="shared" si="0"/>
        <v> BBS 21 </v>
      </c>
      <c r="B15" s="2" t="str">
        <f t="shared" si="1"/>
        <v>I</v>
      </c>
      <c r="C15" s="5">
        <f t="shared" si="2"/>
        <v>42454.285000000003</v>
      </c>
      <c r="D15" s="3" t="str">
        <f t="shared" si="3"/>
        <v>vis</v>
      </c>
      <c r="E15" s="13">
        <f>VLOOKUP(C15,Active!C$21:E$971,3,FALSE)</f>
        <v>2094.0023548241811</v>
      </c>
      <c r="F15" s="2" t="s">
        <v>66</v>
      </c>
      <c r="G15" s="3" t="str">
        <f t="shared" si="4"/>
        <v>42454.285</v>
      </c>
      <c r="H15" s="5">
        <f t="shared" si="5"/>
        <v>-1142</v>
      </c>
      <c r="I15" s="14" t="s">
        <v>178</v>
      </c>
      <c r="J15" s="15" t="s">
        <v>179</v>
      </c>
      <c r="K15" s="14">
        <v>-1142</v>
      </c>
      <c r="L15" s="14" t="s">
        <v>180</v>
      </c>
      <c r="M15" s="15" t="s">
        <v>72</v>
      </c>
      <c r="N15" s="15"/>
      <c r="O15" s="16" t="s">
        <v>176</v>
      </c>
      <c r="P15" s="16" t="s">
        <v>181</v>
      </c>
    </row>
    <row r="16" spans="1:16" ht="12.75" customHeight="1" thickBot="1">
      <c r="A16" s="5" t="str">
        <f t="shared" si="0"/>
        <v> BBS 23 </v>
      </c>
      <c r="B16" s="2" t="str">
        <f t="shared" si="1"/>
        <v>I</v>
      </c>
      <c r="C16" s="5">
        <f t="shared" si="2"/>
        <v>42621.512999999999</v>
      </c>
      <c r="D16" s="3" t="str">
        <f t="shared" si="3"/>
        <v>vis</v>
      </c>
      <c r="E16" s="13">
        <f>VLOOKUP(C16,Active!C$21:E$971,3,FALSE)</f>
        <v>2112.9986181169243</v>
      </c>
      <c r="F16" s="2" t="s">
        <v>66</v>
      </c>
      <c r="G16" s="3" t="str">
        <f t="shared" si="4"/>
        <v>42621.513</v>
      </c>
      <c r="H16" s="5">
        <f t="shared" si="5"/>
        <v>-1123</v>
      </c>
      <c r="I16" s="14" t="s">
        <v>182</v>
      </c>
      <c r="J16" s="15" t="s">
        <v>183</v>
      </c>
      <c r="K16" s="14">
        <v>-1123</v>
      </c>
      <c r="L16" s="14" t="s">
        <v>142</v>
      </c>
      <c r="M16" s="15" t="s">
        <v>72</v>
      </c>
      <c r="N16" s="15"/>
      <c r="O16" s="16" t="s">
        <v>176</v>
      </c>
      <c r="P16" s="16" t="s">
        <v>184</v>
      </c>
    </row>
    <row r="17" spans="1:16" ht="12.75" customHeight="1" thickBot="1">
      <c r="A17" s="5" t="str">
        <f t="shared" si="0"/>
        <v> BBS 38 </v>
      </c>
      <c r="B17" s="2" t="str">
        <f t="shared" si="1"/>
        <v>I</v>
      </c>
      <c r="C17" s="5">
        <f t="shared" si="2"/>
        <v>43739.527000000002</v>
      </c>
      <c r="D17" s="3" t="str">
        <f t="shared" si="3"/>
        <v>vis</v>
      </c>
      <c r="E17" s="13">
        <f>VLOOKUP(C17,Active!C$21:E$971,3,FALSE)</f>
        <v>2239.9994093060427</v>
      </c>
      <c r="F17" s="2" t="s">
        <v>66</v>
      </c>
      <c r="G17" s="3" t="str">
        <f t="shared" si="4"/>
        <v>43739.527</v>
      </c>
      <c r="H17" s="5">
        <f t="shared" si="5"/>
        <v>-996</v>
      </c>
      <c r="I17" s="14" t="s">
        <v>185</v>
      </c>
      <c r="J17" s="15" t="s">
        <v>186</v>
      </c>
      <c r="K17" s="14">
        <v>-996</v>
      </c>
      <c r="L17" s="14" t="s">
        <v>187</v>
      </c>
      <c r="M17" s="15" t="s">
        <v>72</v>
      </c>
      <c r="N17" s="15"/>
      <c r="O17" s="16" t="s">
        <v>176</v>
      </c>
      <c r="P17" s="16" t="s">
        <v>188</v>
      </c>
    </row>
    <row r="18" spans="1:16" ht="12.75" customHeight="1" thickBot="1">
      <c r="A18" s="5" t="str">
        <f t="shared" si="0"/>
        <v> BBS 49 </v>
      </c>
      <c r="B18" s="2" t="str">
        <f t="shared" si="1"/>
        <v>I</v>
      </c>
      <c r="C18" s="5">
        <f t="shared" si="2"/>
        <v>44452.595999999998</v>
      </c>
      <c r="D18" s="3" t="str">
        <f t="shared" si="3"/>
        <v>vis</v>
      </c>
      <c r="E18" s="13">
        <f>VLOOKUP(C18,Active!C$21:E$971,3,FALSE)</f>
        <v>2321.0004765309905</v>
      </c>
      <c r="F18" s="2" t="s">
        <v>66</v>
      </c>
      <c r="G18" s="3" t="str">
        <f t="shared" si="4"/>
        <v>44452.596</v>
      </c>
      <c r="H18" s="5">
        <f t="shared" si="5"/>
        <v>-915</v>
      </c>
      <c r="I18" s="14" t="s">
        <v>189</v>
      </c>
      <c r="J18" s="15" t="s">
        <v>190</v>
      </c>
      <c r="K18" s="14">
        <v>-915</v>
      </c>
      <c r="L18" s="14" t="s">
        <v>91</v>
      </c>
      <c r="M18" s="15" t="s">
        <v>72</v>
      </c>
      <c r="N18" s="15"/>
      <c r="O18" s="16" t="s">
        <v>176</v>
      </c>
      <c r="P18" s="16" t="s">
        <v>191</v>
      </c>
    </row>
    <row r="19" spans="1:16" ht="12.75" customHeight="1" thickBot="1">
      <c r="A19" s="5" t="str">
        <f t="shared" si="0"/>
        <v> BBS 57 </v>
      </c>
      <c r="B19" s="2" t="str">
        <f t="shared" si="1"/>
        <v>I</v>
      </c>
      <c r="C19" s="5">
        <f t="shared" si="2"/>
        <v>44910.349000000002</v>
      </c>
      <c r="D19" s="3" t="str">
        <f t="shared" si="3"/>
        <v>vis</v>
      </c>
      <c r="E19" s="13">
        <f>VLOOKUP(C19,Active!C$21:E$971,3,FALSE)</f>
        <v>2372.9989248234028</v>
      </c>
      <c r="F19" s="2" t="s">
        <v>66</v>
      </c>
      <c r="G19" s="3" t="str">
        <f t="shared" si="4"/>
        <v>44910.349</v>
      </c>
      <c r="H19" s="5">
        <f t="shared" si="5"/>
        <v>-863</v>
      </c>
      <c r="I19" s="14" t="s">
        <v>192</v>
      </c>
      <c r="J19" s="15" t="s">
        <v>193</v>
      </c>
      <c r="K19" s="14">
        <v>-863</v>
      </c>
      <c r="L19" s="14" t="s">
        <v>194</v>
      </c>
      <c r="M19" s="15" t="s">
        <v>72</v>
      </c>
      <c r="N19" s="15"/>
      <c r="O19" s="16" t="s">
        <v>195</v>
      </c>
      <c r="P19" s="16" t="s">
        <v>196</v>
      </c>
    </row>
    <row r="20" spans="1:16" ht="12.75" customHeight="1" thickBot="1">
      <c r="A20" s="5" t="str">
        <f t="shared" si="0"/>
        <v> BBS 67 </v>
      </c>
      <c r="B20" s="2" t="str">
        <f t="shared" si="1"/>
        <v>I</v>
      </c>
      <c r="C20" s="5">
        <f t="shared" si="2"/>
        <v>45526.523000000001</v>
      </c>
      <c r="D20" s="3" t="str">
        <f t="shared" si="3"/>
        <v>vis</v>
      </c>
      <c r="E20" s="13">
        <f>VLOOKUP(C20,Active!C$21:E$971,3,FALSE)</f>
        <v>2442.9932053155644</v>
      </c>
      <c r="F20" s="2" t="s">
        <v>66</v>
      </c>
      <c r="G20" s="3" t="str">
        <f t="shared" si="4"/>
        <v>45526.523</v>
      </c>
      <c r="H20" s="5">
        <f t="shared" si="5"/>
        <v>-793</v>
      </c>
      <c r="I20" s="14" t="s">
        <v>197</v>
      </c>
      <c r="J20" s="15" t="s">
        <v>198</v>
      </c>
      <c r="K20" s="14">
        <v>-793</v>
      </c>
      <c r="L20" s="14" t="s">
        <v>157</v>
      </c>
      <c r="M20" s="15" t="s">
        <v>72</v>
      </c>
      <c r="N20" s="15"/>
      <c r="O20" s="16" t="s">
        <v>176</v>
      </c>
      <c r="P20" s="16" t="s">
        <v>199</v>
      </c>
    </row>
    <row r="21" spans="1:16" ht="12.75" customHeight="1" thickBot="1">
      <c r="A21" s="5" t="str">
        <f t="shared" si="0"/>
        <v> BBS 70 </v>
      </c>
      <c r="B21" s="2" t="str">
        <f t="shared" si="1"/>
        <v>I</v>
      </c>
      <c r="C21" s="5">
        <f t="shared" si="2"/>
        <v>45711.406999999999</v>
      </c>
      <c r="D21" s="3" t="str">
        <f t="shared" si="3"/>
        <v>vis</v>
      </c>
      <c r="E21" s="13">
        <f>VLOOKUP(C21,Active!C$21:E$971,3,FALSE)</f>
        <v>2463.9951017839526</v>
      </c>
      <c r="F21" s="2" t="s">
        <v>66</v>
      </c>
      <c r="G21" s="3" t="str">
        <f t="shared" si="4"/>
        <v>45711.407</v>
      </c>
      <c r="H21" s="5">
        <f t="shared" si="5"/>
        <v>-772</v>
      </c>
      <c r="I21" s="14" t="s">
        <v>200</v>
      </c>
      <c r="J21" s="15" t="s">
        <v>201</v>
      </c>
      <c r="K21" s="14">
        <v>-772</v>
      </c>
      <c r="L21" s="14" t="s">
        <v>202</v>
      </c>
      <c r="M21" s="15" t="s">
        <v>72</v>
      </c>
      <c r="N21" s="15"/>
      <c r="O21" s="16" t="s">
        <v>176</v>
      </c>
      <c r="P21" s="16" t="s">
        <v>203</v>
      </c>
    </row>
    <row r="22" spans="1:16" ht="12.75" customHeight="1" thickBot="1">
      <c r="A22" s="5" t="str">
        <f t="shared" si="0"/>
        <v> BBS 75 </v>
      </c>
      <c r="B22" s="2" t="str">
        <f t="shared" si="1"/>
        <v>I</v>
      </c>
      <c r="C22" s="5">
        <f t="shared" si="2"/>
        <v>46072.27</v>
      </c>
      <c r="D22" s="3" t="str">
        <f t="shared" si="3"/>
        <v>vis</v>
      </c>
      <c r="E22" s="13">
        <f>VLOOKUP(C22,Active!C$21:E$971,3,FALSE)</f>
        <v>2504.9873313185367</v>
      </c>
      <c r="F22" s="2" t="s">
        <v>66</v>
      </c>
      <c r="G22" s="3" t="str">
        <f t="shared" si="4"/>
        <v>46072.270</v>
      </c>
      <c r="H22" s="5">
        <f t="shared" si="5"/>
        <v>-731</v>
      </c>
      <c r="I22" s="14" t="s">
        <v>204</v>
      </c>
      <c r="J22" s="15" t="s">
        <v>205</v>
      </c>
      <c r="K22" s="14">
        <v>-731</v>
      </c>
      <c r="L22" s="14" t="s">
        <v>206</v>
      </c>
      <c r="M22" s="15" t="s">
        <v>72</v>
      </c>
      <c r="N22" s="15"/>
      <c r="O22" s="16" t="s">
        <v>176</v>
      </c>
      <c r="P22" s="16" t="s">
        <v>207</v>
      </c>
    </row>
    <row r="23" spans="1:16" ht="12.75" customHeight="1" thickBot="1">
      <c r="A23" s="5" t="str">
        <f t="shared" si="0"/>
        <v> JAAVSO 41;122 </v>
      </c>
      <c r="B23" s="2" t="str">
        <f t="shared" si="1"/>
        <v>I</v>
      </c>
      <c r="C23" s="5">
        <f t="shared" si="2"/>
        <v>50438.678</v>
      </c>
      <c r="D23" s="3" t="str">
        <f t="shared" si="3"/>
        <v>vis</v>
      </c>
      <c r="E23" s="13">
        <f>VLOOKUP(C23,Active!C$21:E$971,3,FALSE)</f>
        <v>3000.9894123787872</v>
      </c>
      <c r="F23" s="2" t="s">
        <v>66</v>
      </c>
      <c r="G23" s="3" t="str">
        <f t="shared" si="4"/>
        <v>50438.678</v>
      </c>
      <c r="H23" s="5">
        <f t="shared" si="5"/>
        <v>-235</v>
      </c>
      <c r="I23" s="14" t="s">
        <v>208</v>
      </c>
      <c r="J23" s="15" t="s">
        <v>209</v>
      </c>
      <c r="K23" s="14">
        <v>-235</v>
      </c>
      <c r="L23" s="14" t="s">
        <v>162</v>
      </c>
      <c r="M23" s="15" t="s">
        <v>72</v>
      </c>
      <c r="N23" s="15"/>
      <c r="O23" s="16" t="s">
        <v>210</v>
      </c>
      <c r="P23" s="16" t="s">
        <v>211</v>
      </c>
    </row>
    <row r="24" spans="1:16" ht="12.75" customHeight="1" thickBot="1">
      <c r="A24" s="5" t="str">
        <f t="shared" si="0"/>
        <v> IODE 4.1.95 </v>
      </c>
      <c r="B24" s="2" t="str">
        <f t="shared" si="1"/>
        <v>I</v>
      </c>
      <c r="C24" s="5">
        <f t="shared" si="2"/>
        <v>24020.355</v>
      </c>
      <c r="D24" s="3" t="str">
        <f t="shared" si="3"/>
        <v>vis</v>
      </c>
      <c r="E24" s="13">
        <f>VLOOKUP(C24,Active!C$21:E$971,3,FALSE)</f>
        <v>2.2718998369428562E-4</v>
      </c>
      <c r="F24" s="2" t="s">
        <v>66</v>
      </c>
      <c r="G24" s="3" t="str">
        <f t="shared" si="4"/>
        <v>24020.355</v>
      </c>
      <c r="H24" s="5">
        <f t="shared" si="5"/>
        <v>-3236</v>
      </c>
      <c r="I24" s="14" t="s">
        <v>69</v>
      </c>
      <c r="J24" s="15" t="s">
        <v>70</v>
      </c>
      <c r="K24" s="14">
        <v>-3236</v>
      </c>
      <c r="L24" s="14" t="s">
        <v>71</v>
      </c>
      <c r="M24" s="15" t="s">
        <v>72</v>
      </c>
      <c r="N24" s="15"/>
      <c r="O24" s="16" t="s">
        <v>73</v>
      </c>
      <c r="P24" s="16" t="s">
        <v>74</v>
      </c>
    </row>
    <row r="25" spans="1:16" ht="12.75" customHeight="1" thickBot="1">
      <c r="A25" s="5" t="str">
        <f t="shared" si="0"/>
        <v> IODE 4.1.95 </v>
      </c>
      <c r="B25" s="2" t="str">
        <f t="shared" si="1"/>
        <v>I</v>
      </c>
      <c r="C25" s="5">
        <f t="shared" si="2"/>
        <v>24557.346000000001</v>
      </c>
      <c r="D25" s="3" t="str">
        <f t="shared" si="3"/>
        <v>vis</v>
      </c>
      <c r="E25" s="13">
        <f>VLOOKUP(C25,Active!C$21:E$971,3,FALSE)</f>
        <v>60.999715444545728</v>
      </c>
      <c r="F25" s="2" t="s">
        <v>66</v>
      </c>
      <c r="G25" s="3" t="str">
        <f t="shared" si="4"/>
        <v>24557.346</v>
      </c>
      <c r="H25" s="5">
        <f t="shared" si="5"/>
        <v>-3175</v>
      </c>
      <c r="I25" s="14" t="s">
        <v>75</v>
      </c>
      <c r="J25" s="15" t="s">
        <v>76</v>
      </c>
      <c r="K25" s="14">
        <v>-3175</v>
      </c>
      <c r="L25" s="14" t="s">
        <v>77</v>
      </c>
      <c r="M25" s="15" t="s">
        <v>72</v>
      </c>
      <c r="N25" s="15"/>
      <c r="O25" s="16" t="s">
        <v>73</v>
      </c>
      <c r="P25" s="16" t="s">
        <v>74</v>
      </c>
    </row>
    <row r="26" spans="1:16" ht="12.75" customHeight="1" thickBot="1">
      <c r="A26" s="5" t="str">
        <f t="shared" si="0"/>
        <v> HB 917.7 </v>
      </c>
      <c r="B26" s="2" t="str">
        <f t="shared" si="1"/>
        <v>I</v>
      </c>
      <c r="C26" s="5">
        <f t="shared" si="2"/>
        <v>25622.560000000001</v>
      </c>
      <c r="D26" s="3" t="str">
        <f t="shared" si="3"/>
        <v>vis</v>
      </c>
      <c r="E26" s="13">
        <f>VLOOKUP(C26,Active!C$21:E$971,3,FALSE)</f>
        <v>182.00269106535654</v>
      </c>
      <c r="F26" s="2" t="s">
        <v>66</v>
      </c>
      <c r="G26" s="3" t="str">
        <f t="shared" si="4"/>
        <v>25622.56</v>
      </c>
      <c r="H26" s="5">
        <f t="shared" si="5"/>
        <v>-3054</v>
      </c>
      <c r="I26" s="14" t="s">
        <v>78</v>
      </c>
      <c r="J26" s="15" t="s">
        <v>79</v>
      </c>
      <c r="K26" s="14">
        <v>-3054</v>
      </c>
      <c r="L26" s="14" t="s">
        <v>80</v>
      </c>
      <c r="M26" s="15" t="s">
        <v>68</v>
      </c>
      <c r="N26" s="15"/>
      <c r="O26" s="16" t="s">
        <v>81</v>
      </c>
      <c r="P26" s="16" t="s">
        <v>82</v>
      </c>
    </row>
    <row r="27" spans="1:16" ht="12.75" customHeight="1" thickBot="1">
      <c r="A27" s="5" t="str">
        <f t="shared" si="0"/>
        <v> MVS 365 </v>
      </c>
      <c r="B27" s="2" t="str">
        <f t="shared" si="1"/>
        <v>I</v>
      </c>
      <c r="C27" s="5">
        <f t="shared" si="2"/>
        <v>26652.463</v>
      </c>
      <c r="D27" s="3" t="str">
        <f t="shared" si="3"/>
        <v>vis</v>
      </c>
      <c r="E27" s="13">
        <f>VLOOKUP(C27,Active!C$21:E$971,3,FALSE)</f>
        <v>298.99451392986992</v>
      </c>
      <c r="F27" s="2" t="s">
        <v>66</v>
      </c>
      <c r="G27" s="3" t="str">
        <f t="shared" si="4"/>
        <v>26652.463</v>
      </c>
      <c r="H27" s="5">
        <f t="shared" si="5"/>
        <v>-2937</v>
      </c>
      <c r="I27" s="14" t="s">
        <v>83</v>
      </c>
      <c r="J27" s="15" t="s">
        <v>84</v>
      </c>
      <c r="K27" s="14">
        <v>-2937</v>
      </c>
      <c r="L27" s="14" t="s">
        <v>85</v>
      </c>
      <c r="M27" s="15" t="s">
        <v>86</v>
      </c>
      <c r="N27" s="15"/>
      <c r="O27" s="16" t="s">
        <v>87</v>
      </c>
      <c r="P27" s="16" t="s">
        <v>88</v>
      </c>
    </row>
    <row r="28" spans="1:16" ht="12.75" customHeight="1" thickBot="1">
      <c r="A28" s="5" t="str">
        <f t="shared" si="0"/>
        <v> MVS 365 </v>
      </c>
      <c r="B28" s="2" t="str">
        <f t="shared" si="1"/>
        <v>I</v>
      </c>
      <c r="C28" s="5">
        <f t="shared" si="2"/>
        <v>26661.43</v>
      </c>
      <c r="D28" s="3" t="str">
        <f t="shared" si="3"/>
        <v>vis</v>
      </c>
      <c r="E28" s="13">
        <f>VLOOKUP(C28,Active!C$21:E$971,3,FALSE)</f>
        <v>300.01312022155582</v>
      </c>
      <c r="F28" s="2" t="s">
        <v>66</v>
      </c>
      <c r="G28" s="3" t="str">
        <f t="shared" si="4"/>
        <v>26661.430</v>
      </c>
      <c r="H28" s="5">
        <f t="shared" si="5"/>
        <v>-2936</v>
      </c>
      <c r="I28" s="14" t="s">
        <v>89</v>
      </c>
      <c r="J28" s="15" t="s">
        <v>90</v>
      </c>
      <c r="K28" s="14">
        <v>-2936</v>
      </c>
      <c r="L28" s="14" t="s">
        <v>91</v>
      </c>
      <c r="M28" s="15" t="s">
        <v>86</v>
      </c>
      <c r="N28" s="15"/>
      <c r="O28" s="16" t="s">
        <v>87</v>
      </c>
      <c r="P28" s="16" t="s">
        <v>88</v>
      </c>
    </row>
    <row r="29" spans="1:16" ht="12.75" customHeight="1" thickBot="1">
      <c r="A29" s="5" t="str">
        <f t="shared" si="0"/>
        <v> AN 277.40 </v>
      </c>
      <c r="B29" s="2" t="str">
        <f t="shared" si="1"/>
        <v>I</v>
      </c>
      <c r="C29" s="5">
        <f t="shared" si="2"/>
        <v>27744.12</v>
      </c>
      <c r="D29" s="3" t="str">
        <f t="shared" si="3"/>
        <v>vis</v>
      </c>
      <c r="E29" s="13">
        <f>VLOOKUP(C29,Active!C$21:E$971,3,FALSE)</f>
        <v>423.00128191948272</v>
      </c>
      <c r="F29" s="2" t="s">
        <v>66</v>
      </c>
      <c r="G29" s="3" t="str">
        <f t="shared" si="4"/>
        <v>27744.120</v>
      </c>
      <c r="H29" s="5">
        <f t="shared" si="5"/>
        <v>-2813</v>
      </c>
      <c r="I29" s="14" t="s">
        <v>92</v>
      </c>
      <c r="J29" s="15" t="s">
        <v>93</v>
      </c>
      <c r="K29" s="14">
        <v>-2813</v>
      </c>
      <c r="L29" s="14" t="s">
        <v>94</v>
      </c>
      <c r="M29" s="15" t="s">
        <v>72</v>
      </c>
      <c r="N29" s="15"/>
      <c r="O29" s="16" t="s">
        <v>95</v>
      </c>
      <c r="P29" s="16" t="s">
        <v>96</v>
      </c>
    </row>
    <row r="30" spans="1:16" ht="12.75" customHeight="1" thickBot="1">
      <c r="A30" s="5" t="str">
        <f t="shared" si="0"/>
        <v> AN 261.255 </v>
      </c>
      <c r="B30" s="2" t="str">
        <f t="shared" si="1"/>
        <v>I</v>
      </c>
      <c r="C30" s="5">
        <f t="shared" si="2"/>
        <v>28131.502</v>
      </c>
      <c r="D30" s="3" t="str">
        <f t="shared" si="3"/>
        <v>vis</v>
      </c>
      <c r="E30" s="13">
        <f>VLOOKUP(C30,Active!C$21:E$971,3,FALSE)</f>
        <v>467.00593704224781</v>
      </c>
      <c r="F30" s="2" t="s">
        <v>66</v>
      </c>
      <c r="G30" s="3" t="str">
        <f t="shared" si="4"/>
        <v>28131.502</v>
      </c>
      <c r="H30" s="5">
        <f t="shared" si="5"/>
        <v>-2769</v>
      </c>
      <c r="I30" s="14" t="s">
        <v>97</v>
      </c>
      <c r="J30" s="15" t="s">
        <v>98</v>
      </c>
      <c r="K30" s="14">
        <v>-2769</v>
      </c>
      <c r="L30" s="14" t="s">
        <v>99</v>
      </c>
      <c r="M30" s="15" t="s">
        <v>72</v>
      </c>
      <c r="N30" s="15"/>
      <c r="O30" s="16" t="s">
        <v>100</v>
      </c>
      <c r="P30" s="16" t="s">
        <v>101</v>
      </c>
    </row>
    <row r="31" spans="1:16" ht="12.75" customHeight="1" thickBot="1">
      <c r="A31" s="5" t="str">
        <f t="shared" si="0"/>
        <v> AN 277.40 </v>
      </c>
      <c r="B31" s="2" t="str">
        <f t="shared" si="1"/>
        <v>I</v>
      </c>
      <c r="C31" s="5">
        <f t="shared" si="2"/>
        <v>28457.178</v>
      </c>
      <c r="D31" s="3" t="str">
        <f t="shared" si="3"/>
        <v>vis</v>
      </c>
      <c r="E31" s="13">
        <f>VLOOKUP(C31,Active!C$21:E$971,3,FALSE)</f>
        <v>504.00109959952096</v>
      </c>
      <c r="F31" s="2" t="s">
        <v>66</v>
      </c>
      <c r="G31" s="3" t="str">
        <f t="shared" si="4"/>
        <v>28457.178</v>
      </c>
      <c r="H31" s="5">
        <f t="shared" si="5"/>
        <v>-2732</v>
      </c>
      <c r="I31" s="14" t="s">
        <v>102</v>
      </c>
      <c r="J31" s="15" t="s">
        <v>103</v>
      </c>
      <c r="K31" s="14">
        <v>-2732</v>
      </c>
      <c r="L31" s="14" t="s">
        <v>104</v>
      </c>
      <c r="M31" s="15" t="s">
        <v>72</v>
      </c>
      <c r="N31" s="15"/>
      <c r="O31" s="16" t="s">
        <v>95</v>
      </c>
      <c r="P31" s="16" t="s">
        <v>96</v>
      </c>
    </row>
    <row r="32" spans="1:16" ht="12.75" customHeight="1" thickBot="1">
      <c r="A32" s="5" t="str">
        <f t="shared" si="0"/>
        <v> AN 277.40 </v>
      </c>
      <c r="B32" s="2" t="str">
        <f t="shared" si="1"/>
        <v>I</v>
      </c>
      <c r="C32" s="5">
        <f t="shared" si="2"/>
        <v>28492.412</v>
      </c>
      <c r="D32" s="3" t="str">
        <f t="shared" si="3"/>
        <v>vis</v>
      </c>
      <c r="E32" s="13">
        <f>VLOOKUP(C32,Active!C$21:E$971,3,FALSE)</f>
        <v>508.00350554144779</v>
      </c>
      <c r="F32" s="2" t="s">
        <v>66</v>
      </c>
      <c r="G32" s="3" t="str">
        <f t="shared" si="4"/>
        <v>28492.412</v>
      </c>
      <c r="H32" s="5">
        <f t="shared" si="5"/>
        <v>-2728</v>
      </c>
      <c r="I32" s="14" t="s">
        <v>105</v>
      </c>
      <c r="J32" s="15" t="s">
        <v>106</v>
      </c>
      <c r="K32" s="14">
        <v>-2728</v>
      </c>
      <c r="L32" s="14" t="s">
        <v>107</v>
      </c>
      <c r="M32" s="15" t="s">
        <v>72</v>
      </c>
      <c r="N32" s="15"/>
      <c r="O32" s="16" t="s">
        <v>95</v>
      </c>
      <c r="P32" s="16" t="s">
        <v>96</v>
      </c>
    </row>
    <row r="33" spans="1:16" ht="12.75" customHeight="1" thickBot="1">
      <c r="A33" s="5" t="str">
        <f t="shared" si="0"/>
        <v> AN 277.40 </v>
      </c>
      <c r="B33" s="2" t="str">
        <f t="shared" si="1"/>
        <v>I</v>
      </c>
      <c r="C33" s="5">
        <f t="shared" si="2"/>
        <v>28844.518</v>
      </c>
      <c r="D33" s="3" t="str">
        <f t="shared" si="3"/>
        <v>vis</v>
      </c>
      <c r="E33" s="13">
        <f>VLOOKUP(C33,Active!C$21:E$971,3,FALSE)</f>
        <v>548.00098373262927</v>
      </c>
      <c r="F33" s="2" t="s">
        <v>66</v>
      </c>
      <c r="G33" s="3" t="str">
        <f t="shared" si="4"/>
        <v>28844.518</v>
      </c>
      <c r="H33" s="5">
        <f t="shared" si="5"/>
        <v>-2688</v>
      </c>
      <c r="I33" s="14" t="s">
        <v>108</v>
      </c>
      <c r="J33" s="15" t="s">
        <v>109</v>
      </c>
      <c r="K33" s="14">
        <v>-2688</v>
      </c>
      <c r="L33" s="14" t="s">
        <v>110</v>
      </c>
      <c r="M33" s="15" t="s">
        <v>72</v>
      </c>
      <c r="N33" s="15"/>
      <c r="O33" s="16" t="s">
        <v>95</v>
      </c>
      <c r="P33" s="16" t="s">
        <v>96</v>
      </c>
    </row>
    <row r="34" spans="1:16" ht="12.75" customHeight="1" thickBot="1">
      <c r="A34" s="5" t="str">
        <f t="shared" si="0"/>
        <v> AN 277.40 </v>
      </c>
      <c r="B34" s="2" t="str">
        <f t="shared" si="1"/>
        <v>I</v>
      </c>
      <c r="C34" s="5">
        <f t="shared" si="2"/>
        <v>28888.535</v>
      </c>
      <c r="D34" s="3" t="str">
        <f t="shared" si="3"/>
        <v>vis</v>
      </c>
      <c r="E34" s="13">
        <f>VLOOKUP(C34,Active!C$21:E$971,3,FALSE)</f>
        <v>553.00109448774629</v>
      </c>
      <c r="F34" s="2" t="s">
        <v>66</v>
      </c>
      <c r="G34" s="3" t="str">
        <f t="shared" si="4"/>
        <v>28888.535</v>
      </c>
      <c r="H34" s="5">
        <f t="shared" si="5"/>
        <v>-2683</v>
      </c>
      <c r="I34" s="14" t="s">
        <v>111</v>
      </c>
      <c r="J34" s="15" t="s">
        <v>112</v>
      </c>
      <c r="K34" s="14">
        <v>-2683</v>
      </c>
      <c r="L34" s="14" t="s">
        <v>113</v>
      </c>
      <c r="M34" s="15" t="s">
        <v>72</v>
      </c>
      <c r="N34" s="15"/>
      <c r="O34" s="16" t="s">
        <v>95</v>
      </c>
      <c r="P34" s="16" t="s">
        <v>96</v>
      </c>
    </row>
    <row r="35" spans="1:16" ht="12.75" customHeight="1" thickBot="1">
      <c r="A35" s="5" t="str">
        <f t="shared" si="0"/>
        <v> AN 277.40 </v>
      </c>
      <c r="B35" s="2" t="str">
        <f t="shared" si="1"/>
        <v>I</v>
      </c>
      <c r="C35" s="5">
        <f t="shared" si="2"/>
        <v>28897.345000000001</v>
      </c>
      <c r="D35" s="3" t="str">
        <f t="shared" si="3"/>
        <v>vis</v>
      </c>
      <c r="E35" s="13">
        <f>VLOOKUP(C35,Active!C$21:E$971,3,FALSE)</f>
        <v>554.00186636571584</v>
      </c>
      <c r="F35" s="2" t="s">
        <v>66</v>
      </c>
      <c r="G35" s="3" t="str">
        <f t="shared" si="4"/>
        <v>28897.345</v>
      </c>
      <c r="H35" s="5">
        <f t="shared" si="5"/>
        <v>-2682</v>
      </c>
      <c r="I35" s="14" t="s">
        <v>114</v>
      </c>
      <c r="J35" s="15" t="s">
        <v>115</v>
      </c>
      <c r="K35" s="14">
        <v>-2682</v>
      </c>
      <c r="L35" s="14" t="s">
        <v>116</v>
      </c>
      <c r="M35" s="15" t="s">
        <v>72</v>
      </c>
      <c r="N35" s="15"/>
      <c r="O35" s="16" t="s">
        <v>95</v>
      </c>
      <c r="P35" s="16" t="s">
        <v>96</v>
      </c>
    </row>
    <row r="36" spans="1:16" ht="12.75" customHeight="1" thickBot="1">
      <c r="A36" s="5" t="str">
        <f t="shared" si="0"/>
        <v> AN 277.40 </v>
      </c>
      <c r="B36" s="2" t="str">
        <f t="shared" si="1"/>
        <v>I</v>
      </c>
      <c r="C36" s="5">
        <f t="shared" si="2"/>
        <v>28950.174999999999</v>
      </c>
      <c r="D36" s="3" t="str">
        <f t="shared" si="3"/>
        <v>vis</v>
      </c>
      <c r="E36" s="13">
        <f>VLOOKUP(C36,Active!C$21:E$971,3,FALSE)</f>
        <v>560.00308978377757</v>
      </c>
      <c r="F36" s="2" t="s">
        <v>66</v>
      </c>
      <c r="G36" s="3" t="str">
        <f t="shared" si="4"/>
        <v>28950.175</v>
      </c>
      <c r="H36" s="5">
        <f t="shared" si="5"/>
        <v>-2676</v>
      </c>
      <c r="I36" s="14" t="s">
        <v>117</v>
      </c>
      <c r="J36" s="15" t="s">
        <v>118</v>
      </c>
      <c r="K36" s="14">
        <v>-2676</v>
      </c>
      <c r="L36" s="14" t="s">
        <v>119</v>
      </c>
      <c r="M36" s="15" t="s">
        <v>72</v>
      </c>
      <c r="N36" s="15"/>
      <c r="O36" s="16" t="s">
        <v>95</v>
      </c>
      <c r="P36" s="16" t="s">
        <v>96</v>
      </c>
    </row>
    <row r="37" spans="1:16" ht="12.75" customHeight="1" thickBot="1">
      <c r="A37" s="5" t="str">
        <f t="shared" si="0"/>
        <v> AN 277.40 </v>
      </c>
      <c r="B37" s="2" t="str">
        <f t="shared" si="1"/>
        <v>I</v>
      </c>
      <c r="C37" s="5">
        <f t="shared" si="2"/>
        <v>29117.415000000001</v>
      </c>
      <c r="D37" s="3" t="str">
        <f t="shared" si="3"/>
        <v>vis</v>
      </c>
      <c r="E37" s="13">
        <f>VLOOKUP(C37,Active!C$21:E$971,3,FALSE)</f>
        <v>579.0007162164236</v>
      </c>
      <c r="F37" s="2" t="s">
        <v>66</v>
      </c>
      <c r="G37" s="3" t="str">
        <f t="shared" si="4"/>
        <v>29117.415</v>
      </c>
      <c r="H37" s="5">
        <f t="shared" si="5"/>
        <v>-2657</v>
      </c>
      <c r="I37" s="14" t="s">
        <v>120</v>
      </c>
      <c r="J37" s="15" t="s">
        <v>121</v>
      </c>
      <c r="K37" s="14">
        <v>-2657</v>
      </c>
      <c r="L37" s="14" t="s">
        <v>110</v>
      </c>
      <c r="M37" s="15" t="s">
        <v>72</v>
      </c>
      <c r="N37" s="15"/>
      <c r="O37" s="16" t="s">
        <v>95</v>
      </c>
      <c r="P37" s="16" t="s">
        <v>96</v>
      </c>
    </row>
    <row r="38" spans="1:16" ht="12.75" customHeight="1" thickBot="1">
      <c r="A38" s="5" t="str">
        <f t="shared" si="0"/>
        <v> MVS 365 </v>
      </c>
      <c r="B38" s="2" t="str">
        <f t="shared" si="1"/>
        <v>I</v>
      </c>
      <c r="C38" s="5">
        <f t="shared" si="2"/>
        <v>30367.294000000002</v>
      </c>
      <c r="D38" s="3" t="str">
        <f t="shared" si="3"/>
        <v>vis</v>
      </c>
      <c r="E38" s="13">
        <f>VLOOKUP(C38,Active!C$21:E$971,3,FALSE)</f>
        <v>720.98071100241361</v>
      </c>
      <c r="F38" s="2" t="s">
        <v>66</v>
      </c>
      <c r="G38" s="3" t="str">
        <f t="shared" si="4"/>
        <v>30367.294</v>
      </c>
      <c r="H38" s="5">
        <f t="shared" si="5"/>
        <v>-2515</v>
      </c>
      <c r="I38" s="14" t="s">
        <v>122</v>
      </c>
      <c r="J38" s="15" t="s">
        <v>123</v>
      </c>
      <c r="K38" s="14">
        <v>-2515</v>
      </c>
      <c r="L38" s="14" t="s">
        <v>124</v>
      </c>
      <c r="M38" s="15" t="s">
        <v>86</v>
      </c>
      <c r="N38" s="15"/>
      <c r="O38" s="16" t="s">
        <v>87</v>
      </c>
      <c r="P38" s="16" t="s">
        <v>88</v>
      </c>
    </row>
    <row r="39" spans="1:16" ht="12.75" customHeight="1" thickBot="1">
      <c r="A39" s="5" t="str">
        <f t="shared" si="0"/>
        <v> MVS 365 </v>
      </c>
      <c r="B39" s="2" t="str">
        <f t="shared" si="1"/>
        <v>I</v>
      </c>
      <c r="C39" s="5">
        <f t="shared" si="2"/>
        <v>30376.383999999998</v>
      </c>
      <c r="D39" s="3" t="str">
        <f t="shared" si="3"/>
        <v>vis</v>
      </c>
      <c r="E39" s="13">
        <f>VLOOKUP(C39,Active!C$21:E$971,3,FALSE)</f>
        <v>722.01328947809338</v>
      </c>
      <c r="F39" s="2" t="s">
        <v>66</v>
      </c>
      <c r="G39" s="3" t="str">
        <f t="shared" si="4"/>
        <v>30376.384</v>
      </c>
      <c r="H39" s="5">
        <f t="shared" si="5"/>
        <v>-2514</v>
      </c>
      <c r="I39" s="14" t="s">
        <v>125</v>
      </c>
      <c r="J39" s="15" t="s">
        <v>126</v>
      </c>
      <c r="K39" s="14">
        <v>-2514</v>
      </c>
      <c r="L39" s="14" t="s">
        <v>127</v>
      </c>
      <c r="M39" s="15" t="s">
        <v>86</v>
      </c>
      <c r="N39" s="15"/>
      <c r="O39" s="16" t="s">
        <v>87</v>
      </c>
      <c r="P39" s="16" t="s">
        <v>88</v>
      </c>
    </row>
    <row r="40" spans="1:16" ht="12.75" customHeight="1" thickBot="1">
      <c r="A40" s="5" t="str">
        <f t="shared" si="0"/>
        <v> IODE 4.1.95 </v>
      </c>
      <c r="B40" s="2" t="str">
        <f t="shared" si="1"/>
        <v>I</v>
      </c>
      <c r="C40" s="5">
        <f t="shared" si="2"/>
        <v>30948.485000000001</v>
      </c>
      <c r="D40" s="3" t="str">
        <f t="shared" si="3"/>
        <v>vis</v>
      </c>
      <c r="E40" s="13">
        <f>VLOOKUP(C40,Active!C$21:E$971,3,FALSE)</f>
        <v>787.0010978955961</v>
      </c>
      <c r="F40" s="2" t="s">
        <v>66</v>
      </c>
      <c r="G40" s="3" t="str">
        <f t="shared" si="4"/>
        <v>30948.485</v>
      </c>
      <c r="H40" s="5">
        <f t="shared" si="5"/>
        <v>-2449</v>
      </c>
      <c r="I40" s="14" t="s">
        <v>128</v>
      </c>
      <c r="J40" s="15" t="s">
        <v>129</v>
      </c>
      <c r="K40" s="14">
        <v>-2449</v>
      </c>
      <c r="L40" s="14" t="s">
        <v>130</v>
      </c>
      <c r="M40" s="15" t="s">
        <v>72</v>
      </c>
      <c r="N40" s="15"/>
      <c r="O40" s="16" t="s">
        <v>73</v>
      </c>
      <c r="P40" s="16" t="s">
        <v>74</v>
      </c>
    </row>
    <row r="41" spans="1:16" ht="12.75" customHeight="1" thickBot="1">
      <c r="A41" s="5" t="str">
        <f t="shared" si="0"/>
        <v> MVS 365 </v>
      </c>
      <c r="B41" s="2" t="str">
        <f t="shared" si="1"/>
        <v>I</v>
      </c>
      <c r="C41" s="5">
        <f t="shared" si="2"/>
        <v>32119.441999999999</v>
      </c>
      <c r="D41" s="3" t="str">
        <f t="shared" si="3"/>
        <v>vis</v>
      </c>
      <c r="E41" s="13">
        <f>VLOOKUP(C41,Active!C$21:E$971,3,FALSE)</f>
        <v>920.01594873685201</v>
      </c>
      <c r="F41" s="2" t="s">
        <v>66</v>
      </c>
      <c r="G41" s="3" t="str">
        <f t="shared" si="4"/>
        <v>32119.442</v>
      </c>
      <c r="H41" s="5">
        <f t="shared" si="5"/>
        <v>-2316</v>
      </c>
      <c r="I41" s="14" t="s">
        <v>131</v>
      </c>
      <c r="J41" s="15" t="s">
        <v>132</v>
      </c>
      <c r="K41" s="14">
        <v>-2316</v>
      </c>
      <c r="L41" s="14" t="s">
        <v>133</v>
      </c>
      <c r="M41" s="15" t="s">
        <v>86</v>
      </c>
      <c r="N41" s="15"/>
      <c r="O41" s="16" t="s">
        <v>87</v>
      </c>
      <c r="P41" s="16" t="s">
        <v>88</v>
      </c>
    </row>
    <row r="42" spans="1:16" ht="12.75" customHeight="1" thickBot="1">
      <c r="A42" s="5" t="str">
        <f t="shared" si="0"/>
        <v> MVS 365 </v>
      </c>
      <c r="B42" s="2" t="str">
        <f t="shared" si="1"/>
        <v>I</v>
      </c>
      <c r="C42" s="5">
        <f t="shared" si="2"/>
        <v>32471.473000000002</v>
      </c>
      <c r="D42" s="3" t="str">
        <f t="shared" si="3"/>
        <v>vis</v>
      </c>
      <c r="E42" s="13">
        <f>VLOOKUP(C42,Active!C$21:E$971,3,FALSE)</f>
        <v>960.00490730364709</v>
      </c>
      <c r="F42" s="2" t="s">
        <v>66</v>
      </c>
      <c r="G42" s="3" t="str">
        <f t="shared" si="4"/>
        <v>32471.473</v>
      </c>
      <c r="H42" s="5">
        <f t="shared" si="5"/>
        <v>-2276</v>
      </c>
      <c r="I42" s="14" t="s">
        <v>134</v>
      </c>
      <c r="J42" s="15" t="s">
        <v>135</v>
      </c>
      <c r="K42" s="14">
        <v>-2276</v>
      </c>
      <c r="L42" s="14" t="s">
        <v>136</v>
      </c>
      <c r="M42" s="15" t="s">
        <v>86</v>
      </c>
      <c r="N42" s="15"/>
      <c r="O42" s="16" t="s">
        <v>87</v>
      </c>
      <c r="P42" s="16" t="s">
        <v>88</v>
      </c>
    </row>
    <row r="43" spans="1:16" ht="12.75" customHeight="1" thickBot="1">
      <c r="A43" s="5" t="str">
        <f t="shared" si="0"/>
        <v> MVS 365 </v>
      </c>
      <c r="B43" s="2" t="str">
        <f t="shared" si="1"/>
        <v>I</v>
      </c>
      <c r="C43" s="5">
        <f t="shared" si="2"/>
        <v>33888.516000000003</v>
      </c>
      <c r="D43" s="3" t="str">
        <f t="shared" si="3"/>
        <v>vis</v>
      </c>
      <c r="E43" s="13">
        <f>VLOOKUP(C43,Active!C$21:E$971,3,FALSE)</f>
        <v>1120.9738953029043</v>
      </c>
      <c r="F43" s="2" t="s">
        <v>66</v>
      </c>
      <c r="G43" s="3" t="str">
        <f t="shared" si="4"/>
        <v>33888.516</v>
      </c>
      <c r="H43" s="5">
        <f t="shared" si="5"/>
        <v>-2115</v>
      </c>
      <c r="I43" s="14" t="s">
        <v>137</v>
      </c>
      <c r="J43" s="15" t="s">
        <v>138</v>
      </c>
      <c r="K43" s="14">
        <v>-2115</v>
      </c>
      <c r="L43" s="14" t="s">
        <v>139</v>
      </c>
      <c r="M43" s="15" t="s">
        <v>86</v>
      </c>
      <c r="N43" s="15"/>
      <c r="O43" s="16" t="s">
        <v>87</v>
      </c>
      <c r="P43" s="16" t="s">
        <v>88</v>
      </c>
    </row>
    <row r="44" spans="1:16" ht="12.75" customHeight="1" thickBot="1">
      <c r="A44" s="5" t="str">
        <f t="shared" si="0"/>
        <v> MVS 365 </v>
      </c>
      <c r="B44" s="2" t="str">
        <f t="shared" si="1"/>
        <v>I</v>
      </c>
      <c r="C44" s="5">
        <f t="shared" si="2"/>
        <v>33950.410000000003</v>
      </c>
      <c r="D44" s="3" t="str">
        <f t="shared" si="3"/>
        <v>vis</v>
      </c>
      <c r="E44" s="13">
        <f>VLOOKUP(C44,Active!C$21:E$971,3,FALSE)</f>
        <v>1128.004743726859</v>
      </c>
      <c r="F44" s="2" t="s">
        <v>66</v>
      </c>
      <c r="G44" s="3" t="str">
        <f t="shared" si="4"/>
        <v>33950.410</v>
      </c>
      <c r="H44" s="5">
        <f t="shared" si="5"/>
        <v>-2108</v>
      </c>
      <c r="I44" s="14" t="s">
        <v>140</v>
      </c>
      <c r="J44" s="15" t="s">
        <v>141</v>
      </c>
      <c r="K44" s="14">
        <v>-2108</v>
      </c>
      <c r="L44" s="14" t="s">
        <v>142</v>
      </c>
      <c r="M44" s="15" t="s">
        <v>86</v>
      </c>
      <c r="N44" s="15"/>
      <c r="O44" s="16" t="s">
        <v>87</v>
      </c>
      <c r="P44" s="16" t="s">
        <v>88</v>
      </c>
    </row>
    <row r="45" spans="1:16" ht="12.75" customHeight="1" thickBot="1">
      <c r="A45" s="5" t="str">
        <f t="shared" si="0"/>
        <v> MVS 365 </v>
      </c>
      <c r="B45" s="2" t="str">
        <f t="shared" si="1"/>
        <v>I</v>
      </c>
      <c r="C45" s="5">
        <f t="shared" si="2"/>
        <v>34249.53</v>
      </c>
      <c r="D45" s="3" t="str">
        <f t="shared" si="3"/>
        <v>vis</v>
      </c>
      <c r="E45" s="13">
        <f>VLOOKUP(C45,Active!C$21:E$971,3,FALSE)</f>
        <v>1161.9832776812536</v>
      </c>
      <c r="F45" s="2" t="s">
        <v>66</v>
      </c>
      <c r="G45" s="3" t="str">
        <f t="shared" si="4"/>
        <v>34249.530</v>
      </c>
      <c r="H45" s="5">
        <f t="shared" si="5"/>
        <v>-2074</v>
      </c>
      <c r="I45" s="14" t="s">
        <v>143</v>
      </c>
      <c r="J45" s="15" t="s">
        <v>144</v>
      </c>
      <c r="K45" s="14">
        <v>-2074</v>
      </c>
      <c r="L45" s="14" t="s">
        <v>145</v>
      </c>
      <c r="M45" s="15" t="s">
        <v>86</v>
      </c>
      <c r="N45" s="15"/>
      <c r="O45" s="16" t="s">
        <v>87</v>
      </c>
      <c r="P45" s="16" t="s">
        <v>88</v>
      </c>
    </row>
    <row r="46" spans="1:16" ht="12.75" customHeight="1" thickBot="1">
      <c r="A46" s="5" t="str">
        <f t="shared" si="0"/>
        <v> MVS 365 </v>
      </c>
      <c r="B46" s="2" t="str">
        <f t="shared" si="1"/>
        <v>I</v>
      </c>
      <c r="C46" s="5">
        <f t="shared" si="2"/>
        <v>34443.294000000002</v>
      </c>
      <c r="D46" s="3" t="str">
        <f t="shared" si="3"/>
        <v>vis</v>
      </c>
      <c r="E46" s="13">
        <f>VLOOKUP(C46,Active!C$21:E$971,3,FALSE)</f>
        <v>1183.9938976770395</v>
      </c>
      <c r="F46" s="2" t="s">
        <v>66</v>
      </c>
      <c r="G46" s="3" t="str">
        <f t="shared" si="4"/>
        <v>34443.294</v>
      </c>
      <c r="H46" s="5">
        <f t="shared" si="5"/>
        <v>-2052</v>
      </c>
      <c r="I46" s="14" t="s">
        <v>146</v>
      </c>
      <c r="J46" s="15" t="s">
        <v>147</v>
      </c>
      <c r="K46" s="14">
        <v>-2052</v>
      </c>
      <c r="L46" s="14" t="s">
        <v>148</v>
      </c>
      <c r="M46" s="15" t="s">
        <v>86</v>
      </c>
      <c r="N46" s="15"/>
      <c r="O46" s="16" t="s">
        <v>87</v>
      </c>
      <c r="P46" s="16" t="s">
        <v>88</v>
      </c>
    </row>
    <row r="47" spans="1:16" ht="12.75" customHeight="1" thickBot="1">
      <c r="A47" s="5" t="str">
        <f t="shared" si="0"/>
        <v> MVS 365 </v>
      </c>
      <c r="B47" s="2" t="str">
        <f t="shared" si="1"/>
        <v>I</v>
      </c>
      <c r="C47" s="5">
        <f t="shared" si="2"/>
        <v>34654.499000000003</v>
      </c>
      <c r="D47" s="3" t="str">
        <f t="shared" si="3"/>
        <v>vis</v>
      </c>
      <c r="E47" s="13">
        <f>VLOOKUP(C47,Active!C$21:E$971,3,FALSE)</f>
        <v>1207.9857279252276</v>
      </c>
      <c r="F47" s="2" t="s">
        <v>66</v>
      </c>
      <c r="G47" s="3" t="str">
        <f t="shared" si="4"/>
        <v>34654.499</v>
      </c>
      <c r="H47" s="5">
        <f t="shared" si="5"/>
        <v>-2028</v>
      </c>
      <c r="I47" s="14" t="s">
        <v>149</v>
      </c>
      <c r="J47" s="15" t="s">
        <v>150</v>
      </c>
      <c r="K47" s="14">
        <v>-2028</v>
      </c>
      <c r="L47" s="14" t="s">
        <v>151</v>
      </c>
      <c r="M47" s="15" t="s">
        <v>86</v>
      </c>
      <c r="N47" s="15"/>
      <c r="O47" s="16" t="s">
        <v>87</v>
      </c>
      <c r="P47" s="16" t="s">
        <v>88</v>
      </c>
    </row>
    <row r="48" spans="1:16" ht="12.75" customHeight="1" thickBot="1">
      <c r="A48" s="5" t="str">
        <f t="shared" si="0"/>
        <v> MVS 365 </v>
      </c>
      <c r="B48" s="2" t="str">
        <f t="shared" si="1"/>
        <v>I</v>
      </c>
      <c r="C48" s="5">
        <f t="shared" si="2"/>
        <v>35068.383000000002</v>
      </c>
      <c r="D48" s="3" t="str">
        <f t="shared" si="3"/>
        <v>vis</v>
      </c>
      <c r="E48" s="13">
        <f>VLOOKUP(C48,Active!C$21:E$971,3,FALSE)</f>
        <v>1255.0008775213121</v>
      </c>
      <c r="F48" s="2" t="s">
        <v>66</v>
      </c>
      <c r="G48" s="3" t="str">
        <f t="shared" si="4"/>
        <v>35068.383</v>
      </c>
      <c r="H48" s="5">
        <f t="shared" si="5"/>
        <v>-1981</v>
      </c>
      <c r="I48" s="14" t="s">
        <v>152</v>
      </c>
      <c r="J48" s="15" t="s">
        <v>153</v>
      </c>
      <c r="K48" s="14">
        <v>-1981</v>
      </c>
      <c r="L48" s="14" t="s">
        <v>154</v>
      </c>
      <c r="M48" s="15" t="s">
        <v>86</v>
      </c>
      <c r="N48" s="15"/>
      <c r="O48" s="16" t="s">
        <v>87</v>
      </c>
      <c r="P48" s="16" t="s">
        <v>88</v>
      </c>
    </row>
    <row r="49" spans="1:16" ht="12.75" customHeight="1" thickBot="1">
      <c r="A49" s="5" t="str">
        <f t="shared" si="0"/>
        <v> SAC 29.106 </v>
      </c>
      <c r="B49" s="2" t="str">
        <f t="shared" si="1"/>
        <v>I</v>
      </c>
      <c r="C49" s="5">
        <f t="shared" si="2"/>
        <v>35341.277999999998</v>
      </c>
      <c r="D49" s="3" t="str">
        <f t="shared" si="3"/>
        <v>vis</v>
      </c>
      <c r="E49" s="13">
        <f>VLOOKUP(C49,Active!C$21:E$971,3,FALSE)</f>
        <v>1286.0003828151223</v>
      </c>
      <c r="F49" s="2" t="s">
        <v>66</v>
      </c>
      <c r="G49" s="3" t="str">
        <f t="shared" si="4"/>
        <v>35341.278</v>
      </c>
      <c r="H49" s="5">
        <f t="shared" si="5"/>
        <v>-1950</v>
      </c>
      <c r="I49" s="14" t="s">
        <v>155</v>
      </c>
      <c r="J49" s="15" t="s">
        <v>156</v>
      </c>
      <c r="K49" s="14">
        <v>-1950</v>
      </c>
      <c r="L49" s="14" t="s">
        <v>157</v>
      </c>
      <c r="M49" s="15" t="s">
        <v>72</v>
      </c>
      <c r="N49" s="15"/>
      <c r="O49" s="16" t="s">
        <v>158</v>
      </c>
      <c r="P49" s="16" t="s">
        <v>159</v>
      </c>
    </row>
    <row r="50" spans="1:16" ht="12.75" customHeight="1" thickBot="1">
      <c r="A50" s="5" t="str">
        <f t="shared" si="0"/>
        <v> MVS 2.122 </v>
      </c>
      <c r="B50" s="2" t="str">
        <f t="shared" si="1"/>
        <v>I</v>
      </c>
      <c r="C50" s="5">
        <f t="shared" si="2"/>
        <v>35781.432999999997</v>
      </c>
      <c r="D50" s="3" t="str">
        <f t="shared" si="3"/>
        <v>vis</v>
      </c>
      <c r="E50" s="13">
        <f>VLOOKUP(C50,Active!C$21:E$971,3,FALSE)</f>
        <v>1335.9997864414152</v>
      </c>
      <c r="F50" s="2" t="s">
        <v>66</v>
      </c>
      <c r="G50" s="3" t="str">
        <f t="shared" si="4"/>
        <v>35781.433</v>
      </c>
      <c r="H50" s="5">
        <f t="shared" si="5"/>
        <v>-1900</v>
      </c>
      <c r="I50" s="14" t="s">
        <v>160</v>
      </c>
      <c r="J50" s="15" t="s">
        <v>161</v>
      </c>
      <c r="K50" s="14">
        <v>-1900</v>
      </c>
      <c r="L50" s="14" t="s">
        <v>162</v>
      </c>
      <c r="M50" s="15" t="s">
        <v>86</v>
      </c>
      <c r="N50" s="15"/>
      <c r="O50" s="16" t="s">
        <v>163</v>
      </c>
      <c r="P50" s="16" t="s">
        <v>164</v>
      </c>
    </row>
    <row r="51" spans="1:16" ht="12.75" customHeight="1" thickBot="1">
      <c r="A51" s="5" t="str">
        <f t="shared" si="0"/>
        <v>BAVM 171 </v>
      </c>
      <c r="B51" s="2" t="str">
        <f t="shared" si="1"/>
        <v>I</v>
      </c>
      <c r="C51" s="5">
        <f t="shared" si="2"/>
        <v>52648.29</v>
      </c>
      <c r="D51" s="3" t="str">
        <f t="shared" si="3"/>
        <v>vis</v>
      </c>
      <c r="E51" s="13" t="e">
        <f>VLOOKUP(C51,Active!C$21:E$971,3,FALSE)</f>
        <v>#N/A</v>
      </c>
      <c r="F51" s="2" t="s">
        <v>66</v>
      </c>
      <c r="G51" s="3" t="str">
        <f t="shared" si="4"/>
        <v>52648.29</v>
      </c>
      <c r="H51" s="5">
        <f t="shared" si="5"/>
        <v>16</v>
      </c>
      <c r="I51" s="14" t="s">
        <v>212</v>
      </c>
      <c r="J51" s="15" t="s">
        <v>213</v>
      </c>
      <c r="K51" s="14">
        <v>16</v>
      </c>
      <c r="L51" s="14" t="s">
        <v>214</v>
      </c>
      <c r="M51" s="15" t="s">
        <v>72</v>
      </c>
      <c r="N51" s="15"/>
      <c r="O51" s="16" t="s">
        <v>215</v>
      </c>
      <c r="P51" s="17" t="s">
        <v>216</v>
      </c>
    </row>
    <row r="52" spans="1:16" ht="12.75" customHeight="1" thickBot="1">
      <c r="A52" s="5" t="str">
        <f t="shared" si="0"/>
        <v>BAVM 192 </v>
      </c>
      <c r="B52" s="2" t="str">
        <f t="shared" si="1"/>
        <v>I</v>
      </c>
      <c r="C52" s="5">
        <f t="shared" si="2"/>
        <v>53968.745999999999</v>
      </c>
      <c r="D52" s="3" t="str">
        <f t="shared" si="3"/>
        <v>vis</v>
      </c>
      <c r="E52" s="13" t="e">
        <f>VLOOKUP(C52,Active!C$21:E$971,3,FALSE)</f>
        <v>#N/A</v>
      </c>
      <c r="F52" s="2" t="s">
        <v>66</v>
      </c>
      <c r="G52" s="3" t="str">
        <f t="shared" si="4"/>
        <v>53968.746</v>
      </c>
      <c r="H52" s="5">
        <f t="shared" si="5"/>
        <v>166</v>
      </c>
      <c r="I52" s="14" t="s">
        <v>217</v>
      </c>
      <c r="J52" s="15" t="s">
        <v>218</v>
      </c>
      <c r="K52" s="14">
        <v>166</v>
      </c>
      <c r="L52" s="14" t="s">
        <v>154</v>
      </c>
      <c r="M52" s="15" t="s">
        <v>72</v>
      </c>
      <c r="N52" s="15"/>
      <c r="O52" s="16" t="s">
        <v>215</v>
      </c>
      <c r="P52" s="17" t="s">
        <v>219</v>
      </c>
    </row>
    <row r="53" spans="1:16" ht="12.75" customHeight="1" thickBot="1">
      <c r="A53" s="5" t="str">
        <f t="shared" si="0"/>
        <v>BAVM 203 </v>
      </c>
      <c r="B53" s="2" t="str">
        <f t="shared" si="1"/>
        <v>I</v>
      </c>
      <c r="C53" s="5">
        <f t="shared" si="2"/>
        <v>54831.484600000003</v>
      </c>
      <c r="D53" s="3" t="str">
        <f t="shared" si="3"/>
        <v>vis</v>
      </c>
      <c r="E53" s="13">
        <f>VLOOKUP(C53,Active!C$21:E$971,3,FALSE)</f>
        <v>3499.9902421902029</v>
      </c>
      <c r="F53" s="2" t="s">
        <v>66</v>
      </c>
      <c r="G53" s="3" t="str">
        <f t="shared" si="4"/>
        <v>54831.4846</v>
      </c>
      <c r="H53" s="5">
        <f t="shared" si="5"/>
        <v>264</v>
      </c>
      <c r="I53" s="14" t="s">
        <v>220</v>
      </c>
      <c r="J53" s="15" t="s">
        <v>221</v>
      </c>
      <c r="K53" s="14">
        <v>264</v>
      </c>
      <c r="L53" s="14" t="s">
        <v>222</v>
      </c>
      <c r="M53" s="15" t="s">
        <v>223</v>
      </c>
      <c r="N53" s="15" t="s">
        <v>224</v>
      </c>
      <c r="O53" s="16" t="s">
        <v>225</v>
      </c>
      <c r="P53" s="17" t="s">
        <v>226</v>
      </c>
    </row>
    <row r="54" spans="1:16">
      <c r="B54" s="2"/>
      <c r="E54" s="13"/>
      <c r="F54" s="2"/>
    </row>
    <row r="55" spans="1:16">
      <c r="B55" s="2"/>
      <c r="E55" s="13"/>
      <c r="F55" s="2"/>
    </row>
    <row r="56" spans="1:16">
      <c r="B56" s="2"/>
      <c r="E56" s="13"/>
      <c r="F56" s="2"/>
    </row>
    <row r="57" spans="1:16">
      <c r="B57" s="2"/>
      <c r="E57" s="13"/>
      <c r="F57" s="2"/>
    </row>
    <row r="58" spans="1:16">
      <c r="B58" s="2"/>
      <c r="E58" s="13"/>
      <c r="F58" s="2"/>
    </row>
    <row r="59" spans="1:16">
      <c r="B59" s="2"/>
      <c r="E59" s="13"/>
      <c r="F59" s="2"/>
    </row>
    <row r="60" spans="1:16">
      <c r="B60" s="2"/>
      <c r="E60" s="13"/>
      <c r="F60" s="2"/>
    </row>
    <row r="61" spans="1:16">
      <c r="B61" s="2"/>
      <c r="E61" s="13"/>
      <c r="F61" s="2"/>
    </row>
    <row r="62" spans="1:16">
      <c r="B62" s="2"/>
      <c r="E62" s="13"/>
      <c r="F62" s="2"/>
    </row>
    <row r="63" spans="1:16">
      <c r="B63" s="2"/>
      <c r="E63" s="13"/>
      <c r="F63" s="2"/>
    </row>
    <row r="64" spans="1:16">
      <c r="B64" s="2"/>
      <c r="E64" s="13"/>
      <c r="F64" s="2"/>
    </row>
    <row r="65" spans="2:6">
      <c r="B65" s="2"/>
      <c r="E65" s="13"/>
      <c r="F65" s="2"/>
    </row>
    <row r="66" spans="2:6">
      <c r="B66" s="2"/>
      <c r="E66" s="13"/>
      <c r="F66" s="2"/>
    </row>
    <row r="67" spans="2:6">
      <c r="B67" s="2"/>
      <c r="E67" s="13"/>
      <c r="F67" s="2"/>
    </row>
    <row r="68" spans="2:6">
      <c r="B68" s="2"/>
      <c r="E68" s="13"/>
      <c r="F68" s="2"/>
    </row>
    <row r="69" spans="2:6">
      <c r="B69" s="2"/>
      <c r="E69" s="13"/>
      <c r="F69" s="2"/>
    </row>
    <row r="70" spans="2:6">
      <c r="B70" s="2"/>
      <c r="E70" s="13"/>
      <c r="F70" s="2"/>
    </row>
    <row r="71" spans="2:6">
      <c r="B71" s="2"/>
      <c r="E71" s="13"/>
      <c r="F71" s="2"/>
    </row>
    <row r="72" spans="2:6">
      <c r="B72" s="2"/>
      <c r="E72" s="13"/>
      <c r="F72" s="2"/>
    </row>
    <row r="73" spans="2:6">
      <c r="B73" s="2"/>
      <c r="E73" s="13"/>
      <c r="F73" s="2"/>
    </row>
    <row r="74" spans="2:6">
      <c r="B74" s="2"/>
      <c r="E74" s="13"/>
      <c r="F74" s="2"/>
    </row>
    <row r="75" spans="2:6">
      <c r="B75" s="2"/>
      <c r="E75" s="13"/>
      <c r="F75" s="2"/>
    </row>
    <row r="76" spans="2:6">
      <c r="B76" s="2"/>
      <c r="E76" s="13"/>
      <c r="F76" s="2"/>
    </row>
    <row r="77" spans="2:6">
      <c r="B77" s="2"/>
      <c r="E77" s="13"/>
      <c r="F77" s="2"/>
    </row>
    <row r="78" spans="2:6">
      <c r="B78" s="2"/>
      <c r="E78" s="13"/>
      <c r="F78" s="2"/>
    </row>
    <row r="79" spans="2:6">
      <c r="B79" s="2"/>
      <c r="E79" s="13"/>
      <c r="F79" s="2"/>
    </row>
    <row r="80" spans="2:6">
      <c r="B80" s="2"/>
      <c r="E80" s="13"/>
      <c r="F80" s="2"/>
    </row>
    <row r="81" spans="2:6">
      <c r="B81" s="2"/>
      <c r="E81" s="13"/>
      <c r="F81" s="2"/>
    </row>
    <row r="82" spans="2:6">
      <c r="B82" s="2"/>
      <c r="E82" s="13"/>
      <c r="F82" s="2"/>
    </row>
    <row r="83" spans="2:6">
      <c r="B83" s="2"/>
      <c r="E83" s="13"/>
      <c r="F83" s="2"/>
    </row>
    <row r="84" spans="2:6">
      <c r="B84" s="2"/>
      <c r="E84" s="13"/>
      <c r="F84" s="2"/>
    </row>
    <row r="85" spans="2:6">
      <c r="B85" s="2"/>
      <c r="E85" s="13"/>
      <c r="F85" s="2"/>
    </row>
    <row r="86" spans="2:6">
      <c r="B86" s="2"/>
      <c r="E86" s="13"/>
      <c r="F86" s="2"/>
    </row>
    <row r="87" spans="2:6">
      <c r="B87" s="2"/>
      <c r="E87" s="13"/>
      <c r="F87" s="2"/>
    </row>
    <row r="88" spans="2:6">
      <c r="B88" s="2"/>
      <c r="E88" s="13"/>
      <c r="F88" s="2"/>
    </row>
    <row r="89" spans="2:6">
      <c r="B89" s="2"/>
      <c r="E89" s="13"/>
      <c r="F89" s="2"/>
    </row>
    <row r="90" spans="2:6">
      <c r="B90" s="2"/>
      <c r="E90" s="13"/>
      <c r="F90" s="2"/>
    </row>
    <row r="91" spans="2:6">
      <c r="B91" s="2"/>
      <c r="E91" s="13"/>
      <c r="F91" s="2"/>
    </row>
    <row r="92" spans="2:6">
      <c r="B92" s="2"/>
      <c r="E92" s="13"/>
      <c r="F92" s="2"/>
    </row>
    <row r="93" spans="2:6">
      <c r="B93" s="2"/>
      <c r="E93" s="13"/>
      <c r="F93" s="2"/>
    </row>
    <row r="94" spans="2:6">
      <c r="B94" s="2"/>
      <c r="E94" s="13"/>
      <c r="F94" s="2"/>
    </row>
    <row r="95" spans="2:6">
      <c r="B95" s="2"/>
      <c r="E95" s="13"/>
      <c r="F95" s="2"/>
    </row>
    <row r="96" spans="2:6">
      <c r="B96" s="2"/>
      <c r="E96" s="13"/>
      <c r="F96" s="2"/>
    </row>
    <row r="97" spans="2:6">
      <c r="B97" s="2"/>
      <c r="E97" s="13"/>
      <c r="F97" s="2"/>
    </row>
    <row r="98" spans="2:6">
      <c r="B98" s="2"/>
      <c r="E98" s="13"/>
      <c r="F98" s="2"/>
    </row>
    <row r="99" spans="2:6">
      <c r="B99" s="2"/>
      <c r="E99" s="13"/>
      <c r="F99" s="2"/>
    </row>
    <row r="100" spans="2:6">
      <c r="B100" s="2"/>
      <c r="E100" s="13"/>
      <c r="F100" s="2"/>
    </row>
    <row r="101" spans="2:6">
      <c r="B101" s="2"/>
      <c r="E101" s="13"/>
      <c r="F101" s="2"/>
    </row>
    <row r="102" spans="2:6">
      <c r="B102" s="2"/>
      <c r="E102" s="13"/>
      <c r="F102" s="2"/>
    </row>
    <row r="103" spans="2:6">
      <c r="B103" s="2"/>
      <c r="E103" s="13"/>
      <c r="F103" s="2"/>
    </row>
    <row r="104" spans="2:6">
      <c r="B104" s="2"/>
      <c r="E104" s="13"/>
      <c r="F104" s="2"/>
    </row>
    <row r="105" spans="2:6">
      <c r="B105" s="2"/>
      <c r="E105" s="13"/>
      <c r="F105" s="2"/>
    </row>
    <row r="106" spans="2:6">
      <c r="B106" s="2"/>
      <c r="E106" s="13"/>
      <c r="F106" s="2"/>
    </row>
    <row r="107" spans="2:6">
      <c r="B107" s="2"/>
      <c r="E107" s="13"/>
      <c r="F107" s="2"/>
    </row>
    <row r="108" spans="2:6">
      <c r="B108" s="2"/>
      <c r="E108" s="13"/>
      <c r="F108" s="2"/>
    </row>
    <row r="109" spans="2:6">
      <c r="B109" s="2"/>
      <c r="E109" s="13"/>
      <c r="F109" s="2"/>
    </row>
    <row r="110" spans="2:6">
      <c r="B110" s="2"/>
      <c r="E110" s="13"/>
      <c r="F110" s="2"/>
    </row>
    <row r="111" spans="2:6">
      <c r="B111" s="2"/>
      <c r="E111" s="13"/>
      <c r="F111" s="2"/>
    </row>
    <row r="112" spans="2:6">
      <c r="B112" s="2"/>
      <c r="E112" s="13"/>
      <c r="F112" s="2"/>
    </row>
    <row r="113" spans="2:6">
      <c r="B113" s="2"/>
      <c r="E113" s="13"/>
      <c r="F113" s="2"/>
    </row>
    <row r="114" spans="2:6">
      <c r="B114" s="2"/>
      <c r="E114" s="13"/>
      <c r="F114" s="2"/>
    </row>
    <row r="115" spans="2:6">
      <c r="B115" s="2"/>
      <c r="E115" s="13"/>
      <c r="F115" s="2"/>
    </row>
    <row r="116" spans="2:6">
      <c r="B116" s="2"/>
      <c r="E116" s="13"/>
      <c r="F116" s="2"/>
    </row>
    <row r="117" spans="2:6">
      <c r="B117" s="2"/>
      <c r="E117" s="13"/>
      <c r="F117" s="2"/>
    </row>
    <row r="118" spans="2:6">
      <c r="B118" s="2"/>
      <c r="E118" s="13"/>
      <c r="F118" s="2"/>
    </row>
    <row r="119" spans="2:6">
      <c r="B119" s="2"/>
      <c r="E119" s="13"/>
      <c r="F119" s="2"/>
    </row>
    <row r="120" spans="2:6">
      <c r="B120" s="2"/>
      <c r="E120" s="13"/>
      <c r="F120" s="2"/>
    </row>
    <row r="121" spans="2:6">
      <c r="B121" s="2"/>
      <c r="E121" s="13"/>
      <c r="F121" s="2"/>
    </row>
    <row r="122" spans="2:6">
      <c r="B122" s="2"/>
      <c r="E122" s="13"/>
      <c r="F122" s="2"/>
    </row>
    <row r="123" spans="2:6">
      <c r="B123" s="2"/>
      <c r="E123" s="13"/>
      <c r="F123" s="2"/>
    </row>
    <row r="124" spans="2:6">
      <c r="B124" s="2"/>
      <c r="E124" s="13"/>
      <c r="F124" s="2"/>
    </row>
    <row r="125" spans="2:6">
      <c r="B125" s="2"/>
      <c r="E125" s="13"/>
      <c r="F125" s="2"/>
    </row>
    <row r="126" spans="2:6">
      <c r="B126" s="2"/>
      <c r="E126" s="13"/>
      <c r="F126" s="2"/>
    </row>
    <row r="127" spans="2:6">
      <c r="B127" s="2"/>
      <c r="E127" s="13"/>
      <c r="F127" s="2"/>
    </row>
    <row r="128" spans="2:6">
      <c r="B128" s="2"/>
      <c r="E128" s="13"/>
      <c r="F128" s="2"/>
    </row>
    <row r="129" spans="2:6">
      <c r="B129" s="2"/>
      <c r="E129" s="13"/>
      <c r="F129" s="2"/>
    </row>
    <row r="130" spans="2:6">
      <c r="B130" s="2"/>
      <c r="E130" s="13"/>
      <c r="F130" s="2"/>
    </row>
    <row r="131" spans="2:6">
      <c r="B131" s="2"/>
      <c r="E131" s="13"/>
      <c r="F131" s="2"/>
    </row>
    <row r="132" spans="2:6">
      <c r="B132" s="2"/>
      <c r="E132" s="13"/>
      <c r="F132" s="2"/>
    </row>
    <row r="133" spans="2:6">
      <c r="B133" s="2"/>
      <c r="E133" s="13"/>
      <c r="F133" s="2"/>
    </row>
    <row r="134" spans="2:6">
      <c r="B134" s="2"/>
      <c r="E134" s="13"/>
      <c r="F134" s="2"/>
    </row>
    <row r="135" spans="2:6">
      <c r="B135" s="2"/>
      <c r="E135" s="13"/>
      <c r="F135" s="2"/>
    </row>
    <row r="136" spans="2:6">
      <c r="B136" s="2"/>
      <c r="E136" s="13"/>
      <c r="F136" s="2"/>
    </row>
    <row r="137" spans="2:6">
      <c r="B137" s="2"/>
      <c r="E137" s="13"/>
      <c r="F137" s="2"/>
    </row>
    <row r="138" spans="2:6">
      <c r="B138" s="2"/>
      <c r="E138" s="13"/>
      <c r="F138" s="2"/>
    </row>
    <row r="139" spans="2:6">
      <c r="B139" s="2"/>
      <c r="E139" s="13"/>
      <c r="F139" s="2"/>
    </row>
    <row r="140" spans="2:6">
      <c r="B140" s="2"/>
      <c r="E140" s="13"/>
      <c r="F140" s="2"/>
    </row>
    <row r="141" spans="2:6">
      <c r="B141" s="2"/>
      <c r="E141" s="13"/>
      <c r="F141" s="2"/>
    </row>
    <row r="142" spans="2:6">
      <c r="B142" s="2"/>
      <c r="E142" s="13"/>
      <c r="F142" s="2"/>
    </row>
    <row r="143" spans="2:6">
      <c r="B143" s="2"/>
      <c r="E143" s="13"/>
      <c r="F143" s="2"/>
    </row>
    <row r="144" spans="2:6">
      <c r="B144" s="2"/>
      <c r="E144" s="13"/>
      <c r="F144" s="2"/>
    </row>
    <row r="145" spans="2:6">
      <c r="B145" s="2"/>
      <c r="E145" s="13"/>
      <c r="F145" s="2"/>
    </row>
    <row r="146" spans="2:6">
      <c r="B146" s="2"/>
      <c r="E146" s="13"/>
      <c r="F146" s="2"/>
    </row>
    <row r="147" spans="2:6">
      <c r="B147" s="2"/>
      <c r="E147" s="13"/>
      <c r="F147" s="2"/>
    </row>
    <row r="148" spans="2:6">
      <c r="B148" s="2"/>
      <c r="E148" s="13"/>
      <c r="F148" s="2"/>
    </row>
    <row r="149" spans="2:6">
      <c r="B149" s="2"/>
      <c r="E149" s="13"/>
      <c r="F149" s="2"/>
    </row>
    <row r="150" spans="2:6">
      <c r="B150" s="2"/>
      <c r="E150" s="13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</sheetData>
  <phoneticPr fontId="8" type="noConversion"/>
  <hyperlinks>
    <hyperlink ref="A3" r:id="rId1"/>
    <hyperlink ref="P51" r:id="rId2" display="http://www.bav-astro.de/sfs/BAVM_link.php?BAVMnr=171"/>
    <hyperlink ref="P52" r:id="rId3" display="http://www.bav-astro.de/sfs/BAVM_link.php?BAVMnr=192"/>
    <hyperlink ref="P53" r:id="rId4" display="http://www.bav-astro.de/sfs/BAVM_link.php?BAVMnr=20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2024-01-13T05:15:55Z</dcterms:modified>
</cp:coreProperties>
</file>