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88F6533-75DF-40C8-988D-4CDE012FF64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" sheetId="1" r:id="rId2"/>
  </sheets>
  <calcPr calcId="181029"/>
</workbook>
</file>

<file path=xl/calcChain.xml><?xml version="1.0" encoding="utf-8"?>
<calcChain xmlns="http://schemas.openxmlformats.org/spreadsheetml/2006/main">
  <c r="Q41" i="2" l="1"/>
  <c r="F11" i="2"/>
  <c r="Q40" i="2"/>
  <c r="G11" i="2"/>
  <c r="E14" i="2"/>
  <c r="C17" i="2"/>
  <c r="C7" i="2"/>
  <c r="E41" i="2"/>
  <c r="F41" i="2"/>
  <c r="C8" i="2"/>
  <c r="E24" i="2"/>
  <c r="F24" i="2"/>
  <c r="G24" i="2"/>
  <c r="N24" i="2"/>
  <c r="E29" i="2"/>
  <c r="F29" i="2"/>
  <c r="G29" i="2"/>
  <c r="N29" i="2"/>
  <c r="E30" i="2"/>
  <c r="F30" i="2"/>
  <c r="G30" i="2"/>
  <c r="N30" i="2"/>
  <c r="E34" i="2"/>
  <c r="F34" i="2"/>
  <c r="G34" i="2"/>
  <c r="N34" i="2"/>
  <c r="E39" i="2"/>
  <c r="F39" i="2"/>
  <c r="E22" i="2"/>
  <c r="F22" i="2"/>
  <c r="G22" i="2"/>
  <c r="I22" i="2"/>
  <c r="E25" i="2"/>
  <c r="F25" i="2"/>
  <c r="G25" i="2"/>
  <c r="J25" i="2"/>
  <c r="E26" i="2"/>
  <c r="F26" i="2"/>
  <c r="G26" i="2"/>
  <c r="K26" i="2"/>
  <c r="E27" i="2"/>
  <c r="F27" i="2"/>
  <c r="G27" i="2"/>
  <c r="J27" i="2"/>
  <c r="E28" i="2"/>
  <c r="F28" i="2"/>
  <c r="G28" i="2"/>
  <c r="K28" i="2"/>
  <c r="E32" i="2"/>
  <c r="F32" i="2"/>
  <c r="G32" i="2"/>
  <c r="L32" i="2"/>
  <c r="E35" i="2"/>
  <c r="F35" i="2"/>
  <c r="G35" i="2"/>
  <c r="K35" i="2"/>
  <c r="E36" i="2"/>
  <c r="F36" i="2"/>
  <c r="G36" i="2"/>
  <c r="N36" i="2"/>
  <c r="E21" i="2"/>
  <c r="F21" i="2"/>
  <c r="Q23" i="2"/>
  <c r="Q24" i="2"/>
  <c r="Q29" i="2"/>
  <c r="Q30" i="2"/>
  <c r="Q31" i="2"/>
  <c r="Q33" i="2"/>
  <c r="Q34" i="2"/>
  <c r="Q37" i="2"/>
  <c r="Q38" i="2"/>
  <c r="Q39" i="2"/>
  <c r="Q36" i="2"/>
  <c r="Q35" i="2"/>
  <c r="Q26" i="2"/>
  <c r="Q28" i="2"/>
  <c r="Q32" i="2"/>
  <c r="Q21" i="2"/>
  <c r="Q22" i="2"/>
  <c r="Q25" i="2"/>
  <c r="Q27" i="2"/>
  <c r="Q23" i="1"/>
  <c r="Q24" i="1"/>
  <c r="Q22" i="1"/>
  <c r="C7" i="1"/>
  <c r="E23" i="1"/>
  <c r="F23" i="1"/>
  <c r="C8" i="1"/>
  <c r="E21" i="1"/>
  <c r="F21" i="1"/>
  <c r="G21" i="1"/>
  <c r="C18" i="1"/>
  <c r="Q21" i="1"/>
  <c r="H21" i="1"/>
  <c r="E24" i="1"/>
  <c r="F24" i="1"/>
  <c r="G24" i="1"/>
  <c r="J24" i="1"/>
  <c r="G23" i="1"/>
  <c r="J23" i="1"/>
  <c r="E38" i="2"/>
  <c r="F38" i="2"/>
  <c r="G38" i="2"/>
  <c r="N38" i="2"/>
  <c r="E33" i="2"/>
  <c r="F33" i="2"/>
  <c r="E23" i="2"/>
  <c r="F23" i="2"/>
  <c r="G23" i="2"/>
  <c r="E22" i="1"/>
  <c r="F22" i="1"/>
  <c r="G22" i="1"/>
  <c r="I22" i="1"/>
  <c r="G41" i="2"/>
  <c r="N41" i="2"/>
  <c r="G39" i="2"/>
  <c r="N39" i="2"/>
  <c r="E37" i="2"/>
  <c r="F37" i="2"/>
  <c r="G37" i="2"/>
  <c r="N37" i="2"/>
  <c r="E31" i="2"/>
  <c r="F31" i="2"/>
  <c r="G31" i="2"/>
  <c r="N31" i="2"/>
  <c r="E40" i="2"/>
  <c r="F40" i="2"/>
  <c r="G40" i="2"/>
  <c r="N40" i="2"/>
  <c r="N23" i="2"/>
  <c r="C12" i="1"/>
  <c r="C16" i="1"/>
  <c r="D18" i="1"/>
  <c r="C11" i="1"/>
  <c r="O23" i="1"/>
  <c r="O21" i="1"/>
  <c r="O22" i="1"/>
  <c r="O24" i="1"/>
  <c r="C11" i="2"/>
  <c r="E15" i="2" l="1"/>
  <c r="C12" i="2"/>
  <c r="C16" i="2" l="1"/>
  <c r="D18" i="2" s="1"/>
  <c r="O22" i="2"/>
  <c r="O39" i="2"/>
  <c r="O29" i="2"/>
  <c r="O32" i="2"/>
  <c r="O28" i="2"/>
  <c r="O31" i="2"/>
  <c r="O33" i="2"/>
  <c r="O23" i="2"/>
  <c r="C15" i="2"/>
  <c r="O36" i="2"/>
  <c r="O21" i="2"/>
  <c r="O26" i="2"/>
  <c r="O41" i="2"/>
  <c r="O30" i="2"/>
  <c r="O27" i="2"/>
  <c r="O37" i="2"/>
  <c r="O34" i="2"/>
  <c r="O24" i="2"/>
  <c r="O40" i="2"/>
  <c r="O35" i="2"/>
  <c r="O38" i="2"/>
  <c r="O25" i="2"/>
  <c r="C18" i="2" l="1"/>
  <c r="E16" i="2"/>
  <c r="E17" i="2" s="1"/>
</calcChain>
</file>

<file path=xl/sharedStrings.xml><?xml version="1.0" encoding="utf-8"?>
<sst xmlns="http://schemas.openxmlformats.org/spreadsheetml/2006/main" count="131" uniqueCount="69">
  <si>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</si>
  <si>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</si>
  <si>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</si>
  <si>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</si>
  <si>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</si>
  <si>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</si>
  <si>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</si>
  <si>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</si>
  <si>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</si>
  <si>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</si>
  <si>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</si>
  <si>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</si>
  <si>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</si>
  <si>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</si>
  <si>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</si>
  <si>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</si>
  <si>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</si>
  <si>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</si>
  <si>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</si>
  <si>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</si>
  <si>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</si>
  <si>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</si>
  <si>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</si>
  <si>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</si>
  <si>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</si>
  <si>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</si>
  <si>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</si>
  <si>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</si>
  <si>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</si>
  <si>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</si>
  <si>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</t>
  </si>
  <si>
    <t>BBSAG</t>
  </si>
  <si>
    <t>DO Aur</t>
  </si>
  <si>
    <t>Diethelm R</t>
  </si>
  <si>
    <t>BBSAG Bull.111</t>
  </si>
  <si>
    <t>Krajci</t>
  </si>
  <si>
    <t>I</t>
  </si>
  <si>
    <t>II</t>
  </si>
  <si>
    <t>IBVS 5643</t>
  </si>
  <si>
    <t>IBVS</t>
  </si>
  <si>
    <t>Nelson</t>
  </si>
  <si>
    <t>IBVS 5672</t>
  </si>
  <si>
    <t>IBVS 5690</t>
  </si>
  <si>
    <t>IBVS 5657</t>
  </si>
  <si>
    <t># of data points:</t>
  </si>
  <si>
    <t>EA</t>
  </si>
  <si>
    <t>IBVS 5731</t>
  </si>
  <si>
    <t>IBVS 5653</t>
  </si>
  <si>
    <t>DO Aur / na</t>
  </si>
  <si>
    <t>5 09 13 +36°35'37"</t>
  </si>
  <si>
    <t>ID from Nelson's observations 2005-11-24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</si>
  <si>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</si>
  <si>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</si>
  <si>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</si>
  <si>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</si>
  <si>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</si>
  <si>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</si>
  <si>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5761</t>
  </si>
  <si>
    <t>IBVS 5806</t>
  </si>
  <si>
    <t>Start of linear fit &gt;&gt;&gt;&gt;&gt;&gt;&gt;&gt;&gt;&gt;&gt;&gt;&gt;&gt;&gt;&gt;&gt;&gt;&gt;&gt;&gt;</t>
  </si>
  <si>
    <t>IBVS 5894</t>
  </si>
  <si>
    <t>OEJV 0107</t>
  </si>
  <si>
    <t>IBVS 5992</t>
  </si>
  <si>
    <t>IBVS 6010</t>
  </si>
  <si>
    <t>Add cycle</t>
  </si>
  <si>
    <t>Old Cycle</t>
  </si>
  <si>
    <t>IBVS 6029</t>
  </si>
  <si>
    <t>IBVS 6042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</si>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</sst>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176" fontId="0" fillId="0" borderId="0" xfId="0" applyNumberFormat="1" applyAlignment="1"/>
    <xf numFmtId="176" fontId="0" fillId="0" borderId="0" xfId="0" applyNumberFormat="1" applyAlignment="1">
      <alignment horizontal="center"/>
    </xf>
    <xf numFmtId="0" fontId="9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0" fontId="14" fillId="0" borderId="0" xfId="0" applyFont="1">
      <alignment vertical="top"/>
    </xf>
    <xf numFmtId="0" fontId="5" fillId="0" borderId="0" xfId="0" applyFont="1" applyAlignment="1">
      <alignment wrapText="1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7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Aur - O-C Diagr.</a:t>
            </a:r>
          </a:p>
        </c:rich>
      </c:tx>
      <c:layout>
        <c:manualLayout>
          <c:xMode val="edge"/>
          <c:yMode val="edge"/>
          <c:x val="0.3724832214765100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6174496644295"/>
          <c:y val="0.15"/>
          <c:w val="0.8087248322147651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18-4CF3-B6C7-AC234A106F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4.3550000002142042E-2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18-4CF3-B6C7-AC234A106F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4">
                  <c:v>6.6599999998288695E-2</c:v>
                </c:pt>
                <c:pt idx="6">
                  <c:v>6.9924999996146653E-2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18-4CF3-B6C7-AC234A106F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5">
                  <c:v>6.6599999998288695E-2</c:v>
                </c:pt>
                <c:pt idx="7">
                  <c:v>6.9924999996146653E-2</c:v>
                </c:pt>
                <c:pt idx="14">
                  <c:v>7.3050000100920442E-2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18-4CF3-B6C7-AC234A106F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  <c:pt idx="11">
                  <c:v>6.6350000000966247E-2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18-4CF3-B6C7-AC234A106F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18-4CF3-B6C7-AC234A106F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  <c:pt idx="2">
                  <c:v>6.4199999993434176E-2</c:v>
                </c:pt>
                <c:pt idx="3">
                  <c:v>7.5574999995296821E-2</c:v>
                </c:pt>
                <c:pt idx="8">
                  <c:v>6.2599999997473788E-2</c:v>
                </c:pt>
                <c:pt idx="9">
                  <c:v>7.2324999993725214E-2</c:v>
                </c:pt>
                <c:pt idx="10">
                  <c:v>7.6374999996914994E-2</c:v>
                </c:pt>
                <c:pt idx="12">
                  <c:v>5.4274999994959217E-2</c:v>
                </c:pt>
                <c:pt idx="13">
                  <c:v>7.5450000003911555E-2</c:v>
                </c:pt>
                <c:pt idx="15">
                  <c:v>7.2340000006079208E-2</c:v>
                </c:pt>
                <c:pt idx="16">
                  <c:v>7.519999999931315E-2</c:v>
                </c:pt>
                <c:pt idx="17">
                  <c:v>8.015000000159489E-2</c:v>
                </c:pt>
                <c:pt idx="18">
                  <c:v>8.5175000000162981E-2</c:v>
                </c:pt>
                <c:pt idx="19">
                  <c:v>8.1849999995029066E-2</c:v>
                </c:pt>
                <c:pt idx="20">
                  <c:v>8.450000000448199E-2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18-4CF3-B6C7-AC234A106F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0">
                  <c:v>-0.10081368956110548</c:v>
                </c:pt>
                <c:pt idx="1">
                  <c:v>4.8483675730621151E-2</c:v>
                </c:pt>
                <c:pt idx="2">
                  <c:v>6.5528843703434925E-2</c:v>
                </c:pt>
                <c:pt idx="3">
                  <c:v>6.5842872076541631E-2</c:v>
                </c:pt>
                <c:pt idx="4">
                  <c:v>6.7865799038182323E-2</c:v>
                </c:pt>
                <c:pt idx="5">
                  <c:v>6.7865799038182323E-2</c:v>
                </c:pt>
                <c:pt idx="6">
                  <c:v>6.7902313965287758E-2</c:v>
                </c:pt>
                <c:pt idx="7">
                  <c:v>6.7902313965287758E-2</c:v>
                </c:pt>
                <c:pt idx="8">
                  <c:v>6.8596097580290893E-2</c:v>
                </c:pt>
                <c:pt idx="9">
                  <c:v>6.8603400565711986E-2</c:v>
                </c:pt>
                <c:pt idx="10">
                  <c:v>7.021492601529819E-2</c:v>
                </c:pt>
                <c:pt idx="11">
                  <c:v>7.0382894679983155E-2</c:v>
                </c:pt>
                <c:pt idx="12">
                  <c:v>7.0818639476774609E-2</c:v>
                </c:pt>
                <c:pt idx="13">
                  <c:v>7.248615448125581E-2</c:v>
                </c:pt>
                <c:pt idx="14">
                  <c:v>7.2544578364624496E-2</c:v>
                </c:pt>
                <c:pt idx="15">
                  <c:v>7.5529065073374813E-2</c:v>
                </c:pt>
                <c:pt idx="16">
                  <c:v>7.7457053224541411E-2</c:v>
                </c:pt>
                <c:pt idx="17">
                  <c:v>8.1902137017508841E-2</c:v>
                </c:pt>
                <c:pt idx="18">
                  <c:v>8.2221034047562924E-2</c:v>
                </c:pt>
                <c:pt idx="19">
                  <c:v>8.4297516235624925E-2</c:v>
                </c:pt>
                <c:pt idx="20">
                  <c:v>8.6113525277001557E-2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18-4CF3-B6C7-AC234A106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792504"/>
        <c:axId val="1"/>
      </c:scatterChart>
      <c:valAx>
        <c:axId val="775792504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1208053691275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13422818791948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792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80536912751678"/>
          <c:y val="0.91874999999999996"/>
          <c:w val="0.8489932885906040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Aur - O-C Diagr.</a:t>
            </a:r>
          </a:p>
        </c:rich>
      </c:tx>
      <c:layout>
        <c:manualLayout>
          <c:xMode val="edge"/>
          <c:yMode val="edge"/>
          <c:x val="0.37353486593070334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2888159691949"/>
          <c:y val="0.14953316519776211"/>
          <c:w val="0.80234637109108542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97-463C-91A8-72200CD605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4.3550000002142042E-2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97-463C-91A8-72200CD605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4">
                  <c:v>6.6599999998288695E-2</c:v>
                </c:pt>
                <c:pt idx="6">
                  <c:v>6.9924999996146653E-2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97-463C-91A8-72200CD605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5">
                  <c:v>6.6599999998288695E-2</c:v>
                </c:pt>
                <c:pt idx="7">
                  <c:v>6.9924999996146653E-2</c:v>
                </c:pt>
                <c:pt idx="14">
                  <c:v>7.3050000100920442E-2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97-463C-91A8-72200CD605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  <c:pt idx="11">
                  <c:v>6.6350000000966247E-2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97-463C-91A8-72200CD605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97-463C-91A8-72200CD605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2.3E-3</c:v>
                  </c:pt>
                  <c:pt idx="2">
                    <c:v>8.9999999999999998E-4</c:v>
                  </c:pt>
                  <c:pt idx="3">
                    <c:v>3.0999999999999999E-3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5.0000000000000001E-3</c:v>
                  </c:pt>
                  <c:pt idx="9">
                    <c:v>1E-4</c:v>
                  </c:pt>
                  <c:pt idx="10">
                    <c:v>1.1000000000000001E-3</c:v>
                  </c:pt>
                  <c:pt idx="11">
                    <c:v>2.0000000000000001E-4</c:v>
                  </c:pt>
                  <c:pt idx="12">
                    <c:v>1.04E-2</c:v>
                  </c:pt>
                  <c:pt idx="13">
                    <c:v>1.1999999999999999E-3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2.0999999999999999E-3</c:v>
                  </c:pt>
                  <c:pt idx="19">
                    <c:v>5.9999999999999995E-4</c:v>
                  </c:pt>
                  <c:pt idx="20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  <c:pt idx="2">
                  <c:v>6.4199999993434176E-2</c:v>
                </c:pt>
                <c:pt idx="3">
                  <c:v>7.5574999995296821E-2</c:v>
                </c:pt>
                <c:pt idx="8">
                  <c:v>6.2599999997473788E-2</c:v>
                </c:pt>
                <c:pt idx="9">
                  <c:v>7.2324999993725214E-2</c:v>
                </c:pt>
                <c:pt idx="10">
                  <c:v>7.6374999996914994E-2</c:v>
                </c:pt>
                <c:pt idx="12">
                  <c:v>5.4274999994959217E-2</c:v>
                </c:pt>
                <c:pt idx="13">
                  <c:v>7.5450000003911555E-2</c:v>
                </c:pt>
                <c:pt idx="15">
                  <c:v>7.2340000006079208E-2</c:v>
                </c:pt>
                <c:pt idx="16">
                  <c:v>7.519999999931315E-2</c:v>
                </c:pt>
                <c:pt idx="17">
                  <c:v>8.015000000159489E-2</c:v>
                </c:pt>
                <c:pt idx="18">
                  <c:v>8.5175000000162981E-2</c:v>
                </c:pt>
                <c:pt idx="19">
                  <c:v>8.1849999995029066E-2</c:v>
                </c:pt>
                <c:pt idx="20">
                  <c:v>8.450000000448199E-2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97-463C-91A8-72200CD605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30665</c:v>
                </c:pt>
                <c:pt idx="2">
                  <c:v>34166</c:v>
                </c:pt>
                <c:pt idx="3">
                  <c:v>34230.5</c:v>
                </c:pt>
                <c:pt idx="4">
                  <c:v>34646</c:v>
                </c:pt>
                <c:pt idx="5">
                  <c:v>34646</c:v>
                </c:pt>
                <c:pt idx="6">
                  <c:v>34653.5</c:v>
                </c:pt>
                <c:pt idx="7">
                  <c:v>34653.5</c:v>
                </c:pt>
                <c:pt idx="8">
                  <c:v>34796</c:v>
                </c:pt>
                <c:pt idx="9">
                  <c:v>34797.5</c:v>
                </c:pt>
                <c:pt idx="10">
                  <c:v>35128.5</c:v>
                </c:pt>
                <c:pt idx="11">
                  <c:v>35163</c:v>
                </c:pt>
                <c:pt idx="12">
                  <c:v>35252.5</c:v>
                </c:pt>
                <c:pt idx="13">
                  <c:v>35595</c:v>
                </c:pt>
                <c:pt idx="14">
                  <c:v>35607</c:v>
                </c:pt>
                <c:pt idx="15">
                  <c:v>36220</c:v>
                </c:pt>
                <c:pt idx="16">
                  <c:v>36616</c:v>
                </c:pt>
                <c:pt idx="17">
                  <c:v>37529</c:v>
                </c:pt>
                <c:pt idx="18">
                  <c:v>37594.5</c:v>
                </c:pt>
                <c:pt idx="19">
                  <c:v>38021</c:v>
                </c:pt>
                <c:pt idx="20">
                  <c:v>38394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0">
                  <c:v>-0.10081368956110548</c:v>
                </c:pt>
                <c:pt idx="1">
                  <c:v>4.8483675730621151E-2</c:v>
                </c:pt>
                <c:pt idx="2">
                  <c:v>6.5528843703434925E-2</c:v>
                </c:pt>
                <c:pt idx="3">
                  <c:v>6.5842872076541631E-2</c:v>
                </c:pt>
                <c:pt idx="4">
                  <c:v>6.7865799038182323E-2</c:v>
                </c:pt>
                <c:pt idx="5">
                  <c:v>6.7865799038182323E-2</c:v>
                </c:pt>
                <c:pt idx="6">
                  <c:v>6.7902313965287758E-2</c:v>
                </c:pt>
                <c:pt idx="7">
                  <c:v>6.7902313965287758E-2</c:v>
                </c:pt>
                <c:pt idx="8">
                  <c:v>6.8596097580290893E-2</c:v>
                </c:pt>
                <c:pt idx="9">
                  <c:v>6.8603400565711986E-2</c:v>
                </c:pt>
                <c:pt idx="10">
                  <c:v>7.021492601529819E-2</c:v>
                </c:pt>
                <c:pt idx="11">
                  <c:v>7.0382894679983155E-2</c:v>
                </c:pt>
                <c:pt idx="12">
                  <c:v>7.0818639476774609E-2</c:v>
                </c:pt>
                <c:pt idx="13">
                  <c:v>7.248615448125581E-2</c:v>
                </c:pt>
                <c:pt idx="14">
                  <c:v>7.2544578364624496E-2</c:v>
                </c:pt>
                <c:pt idx="15">
                  <c:v>7.5529065073374813E-2</c:v>
                </c:pt>
                <c:pt idx="16">
                  <c:v>7.7457053224541411E-2</c:v>
                </c:pt>
                <c:pt idx="17">
                  <c:v>8.1902137017508841E-2</c:v>
                </c:pt>
                <c:pt idx="18">
                  <c:v>8.2221034047562924E-2</c:v>
                </c:pt>
                <c:pt idx="19">
                  <c:v>8.4297516235624925E-2</c:v>
                </c:pt>
                <c:pt idx="20">
                  <c:v>8.6113525277001557E-2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97-463C-91A8-72200CD6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485440"/>
        <c:axId val="1"/>
      </c:scatterChart>
      <c:valAx>
        <c:axId val="782485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28898648975408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485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6283165609324"/>
          <c:y val="0.91900605882208652"/>
          <c:w val="0.84757259613905045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Aur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30665</c:v>
                </c:pt>
                <c:pt idx="2">
                  <c:v>34646</c:v>
                </c:pt>
                <c:pt idx="3">
                  <c:v>34653.5</c:v>
                </c:pt>
              </c:numCache>
            </c:numRef>
          </c:xVal>
          <c:yVal>
            <c:numRef>
              <c:f>A!$H$21:$H$993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67-474E-83BE-F21E193869BF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30665</c:v>
                </c:pt>
                <c:pt idx="2">
                  <c:v>34646</c:v>
                </c:pt>
                <c:pt idx="3">
                  <c:v>34653.5</c:v>
                </c:pt>
              </c:numCache>
            </c:numRef>
          </c:xVal>
          <c:yVal>
            <c:numRef>
              <c:f>A!$I$21:$I$993</c:f>
              <c:numCache>
                <c:formatCode>General</c:formatCode>
                <c:ptCount val="973"/>
                <c:pt idx="1">
                  <c:v>4.3550000002142042E-2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67-474E-83BE-F21E193869BF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30665</c:v>
                </c:pt>
                <c:pt idx="2">
                  <c:v>34646</c:v>
                </c:pt>
                <c:pt idx="3">
                  <c:v>34653.5</c:v>
                </c:pt>
              </c:numCache>
            </c:numRef>
          </c:xVal>
          <c:yVal>
            <c:numRef>
              <c:f>A!$J$21:$J$993</c:f>
              <c:numCache>
                <c:formatCode>General</c:formatCode>
                <c:ptCount val="973"/>
                <c:pt idx="2">
                  <c:v>6.6599999998288695E-2</c:v>
                </c:pt>
                <c:pt idx="3">
                  <c:v>6.9924999996146653E-2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67-474E-83BE-F21E193869BF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30665</c:v>
                </c:pt>
                <c:pt idx="2">
                  <c:v>34646</c:v>
                </c:pt>
                <c:pt idx="3">
                  <c:v>34653.5</c:v>
                </c:pt>
              </c:numCache>
            </c:numRef>
          </c:xVal>
          <c:yVal>
            <c:numRef>
              <c:f>A!$K$21:$K$993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67-474E-83BE-F21E193869BF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30665</c:v>
                </c:pt>
                <c:pt idx="2">
                  <c:v>34646</c:v>
                </c:pt>
                <c:pt idx="3">
                  <c:v>34653.5</c:v>
                </c:pt>
              </c:numCache>
            </c:numRef>
          </c:xVal>
          <c:yVal>
            <c:numRef>
              <c:f>A!$L$21:$L$993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67-474E-83BE-F21E193869BF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30665</c:v>
                </c:pt>
                <c:pt idx="2">
                  <c:v>34646</c:v>
                </c:pt>
                <c:pt idx="3">
                  <c:v>34653.5</c:v>
                </c:pt>
              </c:numCache>
            </c:numRef>
          </c:xVal>
          <c:yVal>
            <c:numRef>
              <c:f>A!$M$21:$M$993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67-474E-83BE-F21E193869BF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2.3E-3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30665</c:v>
                </c:pt>
                <c:pt idx="2">
                  <c:v>34646</c:v>
                </c:pt>
                <c:pt idx="3">
                  <c:v>34653.5</c:v>
                </c:pt>
              </c:numCache>
            </c:numRef>
          </c:xVal>
          <c:yVal>
            <c:numRef>
              <c:f>A!$N$21:$N$993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67-474E-83BE-F21E193869BF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30665</c:v>
                </c:pt>
                <c:pt idx="2">
                  <c:v>34646</c:v>
                </c:pt>
                <c:pt idx="3">
                  <c:v>34653.5</c:v>
                </c:pt>
              </c:numCache>
            </c:numRef>
          </c:xVal>
          <c:yVal>
            <c:numRef>
              <c:f>A!$O$21:$O$993</c:f>
              <c:numCache>
                <c:formatCode>General</c:formatCode>
                <c:ptCount val="973"/>
                <c:pt idx="0">
                  <c:v>-1.3807227356276361E-3</c:v>
                </c:pt>
                <c:pt idx="1">
                  <c:v>5.5553082021532474E-2</c:v>
                </c:pt>
                <c:pt idx="2">
                  <c:v>6.2944357962776698E-2</c:v>
                </c:pt>
                <c:pt idx="3">
                  <c:v>6.2958282747895861E-2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67-474E-83BE-F21E19386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795464"/>
        <c:axId val="1"/>
      </c:scatterChart>
      <c:valAx>
        <c:axId val="893795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795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0330578512396695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0</xdr:row>
      <xdr:rowOff>0</xdr:rowOff>
    </xdr:from>
    <xdr:to>
      <xdr:col>17</xdr:col>
      <xdr:colOff>542924</xdr:colOff>
      <xdr:row>18</xdr:row>
      <xdr:rowOff>85724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403EC035-9BCF-284B-5685-0315C041E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400050</xdr:colOff>
      <xdr:row>0</xdr:row>
      <xdr:rowOff>28575</xdr:rowOff>
    </xdr:from>
    <xdr:to>
      <xdr:col>26</xdr:col>
      <xdr:colOff>600075</xdr:colOff>
      <xdr:row>18</xdr:row>
      <xdr:rowOff>57150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1835BD32-664B-5C77-E238-DCC24AC56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0</xdr:row>
      <xdr:rowOff>0</xdr:rowOff>
    </xdr:from>
    <xdr:to>
      <xdr:col>13</xdr:col>
      <xdr:colOff>295275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5361AE4-D85A-6664-93CE-D66F4D65A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48</v>
      </c>
      <c r="B1" s="19"/>
      <c r="C1" s="23" t="s">
        <v>49</v>
      </c>
    </row>
    <row r="2" spans="1:7">
      <c r="A2" t="s">
        <v>26</v>
      </c>
      <c r="B2" s="20" t="s">
        <v>45</v>
      </c>
      <c r="C2" s="24" t="s">
        <v>50</v>
      </c>
    </row>
    <row r="4" spans="1:7">
      <c r="A4" s="8" t="s">
        <v>0</v>
      </c>
      <c r="C4" s="3">
        <v>25967.346000000001</v>
      </c>
      <c r="D4" s="4">
        <v>0.78864999999999996</v>
      </c>
    </row>
    <row r="6" spans="1:7">
      <c r="A6" s="8" t="s">
        <v>1</v>
      </c>
    </row>
    <row r="7" spans="1:7">
      <c r="A7" t="s">
        <v>2</v>
      </c>
      <c r="C7">
        <f>+C4</f>
        <v>25967.346000000001</v>
      </c>
    </row>
    <row r="8" spans="1:7">
      <c r="A8" t="s">
        <v>3</v>
      </c>
      <c r="C8">
        <f>+D4</f>
        <v>0.78864999999999996</v>
      </c>
    </row>
    <row r="9" spans="1:7">
      <c r="A9" s="27" t="s">
        <v>51</v>
      </c>
      <c r="B9" s="21"/>
      <c r="C9" s="28">
        <v>-9.5</v>
      </c>
      <c r="D9" s="21" t="s">
        <v>52</v>
      </c>
      <c r="E9" s="21"/>
    </row>
    <row r="10" spans="1:7" ht="13.5" thickBot="1">
      <c r="A10" s="21"/>
      <c r="B10" s="21"/>
      <c r="C10" s="7" t="s">
        <v>21</v>
      </c>
      <c r="D10" s="7" t="s">
        <v>22</v>
      </c>
      <c r="E10" s="21"/>
    </row>
    <row r="11" spans="1:7">
      <c r="A11" s="21" t="s">
        <v>16</v>
      </c>
      <c r="B11" s="21"/>
      <c r="C11" s="29">
        <f ca="1">INTERCEPT(INDIRECT($G$11):G992,INDIRECT($F$11):F992)</f>
        <v>-0.10081368956110548</v>
      </c>
      <c r="D11" s="6"/>
      <c r="E11" s="21"/>
      <c r="F11" s="30" t="str">
        <f>"F"&amp;E19</f>
        <v>F22</v>
      </c>
      <c r="G11" s="14" t="str">
        <f>"G"&amp;E19</f>
        <v>G22</v>
      </c>
    </row>
    <row r="12" spans="1:7">
      <c r="A12" s="21" t="s">
        <v>17</v>
      </c>
      <c r="B12" s="21"/>
      <c r="C12" s="29">
        <f ca="1">SLOPE(INDIRECT($G$11):G992,INDIRECT($F$11):F992)</f>
        <v>4.8686569473904003E-6</v>
      </c>
      <c r="D12" s="6"/>
      <c r="E12" s="21"/>
    </row>
    <row r="13" spans="1:7">
      <c r="A13" s="21" t="s">
        <v>20</v>
      </c>
      <c r="B13" s="21"/>
      <c r="C13" s="6" t="s">
        <v>14</v>
      </c>
      <c r="D13" s="33" t="s">
        <v>64</v>
      </c>
      <c r="E13" s="28">
        <v>1</v>
      </c>
    </row>
    <row r="14" spans="1:7">
      <c r="A14" s="21"/>
      <c r="B14" s="21"/>
      <c r="C14" s="21"/>
      <c r="D14" s="33" t="s">
        <v>53</v>
      </c>
      <c r="E14" s="34">
        <f ca="1">NOW()+15018.5+$C$9/24</f>
        <v>60322.783889814811</v>
      </c>
    </row>
    <row r="15" spans="1:7">
      <c r="A15" s="31" t="s">
        <v>18</v>
      </c>
      <c r="B15" s="21"/>
      <c r="C15" s="32">
        <f ca="1">(C7+C11)+(C8+C12)*INT(MAX(F21:F3533))</f>
        <v>56246.860213525273</v>
      </c>
      <c r="D15" s="33" t="s">
        <v>65</v>
      </c>
      <c r="E15" s="34">
        <f ca="1">ROUND(2*(E14-$C$7)/$C$8,0)/2+E13</f>
        <v>43563.5</v>
      </c>
    </row>
    <row r="16" spans="1:7">
      <c r="A16" s="35" t="s">
        <v>4</v>
      </c>
      <c r="B16" s="21"/>
      <c r="C16" s="36">
        <f ca="1">+C8+C12</f>
        <v>0.78865486865694734</v>
      </c>
      <c r="D16" s="33" t="s">
        <v>54</v>
      </c>
      <c r="E16" s="14">
        <f ca="1">ROUND(2*(E14-$C$15)/$C$16,0)/2+E13</f>
        <v>5169</v>
      </c>
    </row>
    <row r="17" spans="1:32" ht="13.5" thickBot="1">
      <c r="A17" s="33" t="s">
        <v>44</v>
      </c>
      <c r="B17" s="21"/>
      <c r="C17" s="21">
        <f>COUNT(C21:C2191)</f>
        <v>21</v>
      </c>
      <c r="D17" s="33" t="s">
        <v>55</v>
      </c>
      <c r="E17" s="37">
        <f ca="1">+$C$15+$C$16*E16-15018.5-$C$9/24</f>
        <v>45305.31306294637</v>
      </c>
    </row>
    <row r="18" spans="1:32">
      <c r="A18" s="35" t="s">
        <v>5</v>
      </c>
      <c r="B18" s="21"/>
      <c r="C18" s="38">
        <f ca="1">+C15</f>
        <v>56246.860213525273</v>
      </c>
      <c r="D18" s="39">
        <f ca="1">+C16</f>
        <v>0.78865486865694734</v>
      </c>
      <c r="E18" s="40" t="s">
        <v>56</v>
      </c>
    </row>
    <row r="19" spans="1:32" ht="13.5" thickTop="1">
      <c r="A19" s="41" t="s">
        <v>59</v>
      </c>
      <c r="E19" s="42">
        <v>22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35</v>
      </c>
      <c r="K20" s="10" t="s">
        <v>39</v>
      </c>
      <c r="L20" s="10" t="s">
        <v>40</v>
      </c>
      <c r="M20" s="10" t="s">
        <v>68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2">
      <c r="A21" t="s">
        <v>12</v>
      </c>
      <c r="B21" s="6"/>
      <c r="C21" s="17">
        <v>25967.346000000001</v>
      </c>
      <c r="D21" s="17" t="s">
        <v>14</v>
      </c>
      <c r="E21">
        <f t="shared" ref="E21:E39" si="0">+(C21-C$7)/C$8</f>
        <v>0</v>
      </c>
      <c r="F21">
        <f t="shared" ref="F21:F41" si="1">ROUND(2*E21,0)/2</f>
        <v>0</v>
      </c>
      <c r="H21" s="14">
        <v>0</v>
      </c>
      <c r="O21">
        <f t="shared" ref="O21:O39" ca="1" si="2">+C$11+C$12*F21</f>
        <v>-0.10081368956110548</v>
      </c>
      <c r="Q21" s="2">
        <f t="shared" ref="Q21:Q39" si="3">+C21-15018.5</f>
        <v>10948.846000000001</v>
      </c>
    </row>
    <row r="22" spans="1:32">
      <c r="A22" t="s">
        <v>34</v>
      </c>
      <c r="B22" s="6"/>
      <c r="C22" s="18">
        <v>50151.341800000002</v>
      </c>
      <c r="D22" s="17">
        <v>2.3E-3</v>
      </c>
      <c r="E22">
        <f t="shared" si="0"/>
        <v>30665.05522094719</v>
      </c>
      <c r="F22">
        <f t="shared" si="1"/>
        <v>30665</v>
      </c>
      <c r="G22">
        <f t="shared" ref="G22:G32" si="4">+C22-(C$7+F22*C$8)</f>
        <v>4.3550000002142042E-2</v>
      </c>
      <c r="I22">
        <f>G22</f>
        <v>4.3550000002142042E-2</v>
      </c>
      <c r="O22">
        <f t="shared" ca="1" si="2"/>
        <v>4.8483675730621151E-2</v>
      </c>
      <c r="Q22" s="2">
        <f t="shared" si="3"/>
        <v>35132.841800000002</v>
      </c>
      <c r="AA22">
        <v>14</v>
      </c>
      <c r="AC22" t="s">
        <v>33</v>
      </c>
      <c r="AE22" t="s">
        <v>30</v>
      </c>
      <c r="AF22" t="s">
        <v>30</v>
      </c>
    </row>
    <row r="23" spans="1:32">
      <c r="A23" s="45" t="s">
        <v>38</v>
      </c>
      <c r="B23" s="46" t="s">
        <v>36</v>
      </c>
      <c r="C23" s="45">
        <v>52912.426099999997</v>
      </c>
      <c r="D23" s="45">
        <v>8.9999999999999998E-4</v>
      </c>
      <c r="E23">
        <f t="shared" si="0"/>
        <v>34166.081404932476</v>
      </c>
      <c r="F23">
        <f t="shared" si="1"/>
        <v>34166</v>
      </c>
      <c r="G23">
        <f t="shared" si="4"/>
        <v>6.4199999993434176E-2</v>
      </c>
      <c r="N23">
        <f>G23</f>
        <v>6.4199999993434176E-2</v>
      </c>
      <c r="O23">
        <f t="shared" ca="1" si="2"/>
        <v>6.5528843703434925E-2</v>
      </c>
      <c r="Q23" s="2">
        <f t="shared" si="3"/>
        <v>37893.926099999997</v>
      </c>
    </row>
    <row r="24" spans="1:32">
      <c r="A24" s="45" t="s">
        <v>38</v>
      </c>
      <c r="B24" s="46" t="s">
        <v>36</v>
      </c>
      <c r="C24" s="45">
        <v>52963.305399999997</v>
      </c>
      <c r="D24" s="45">
        <v>3.0999999999999999E-3</v>
      </c>
      <c r="E24">
        <f t="shared" si="0"/>
        <v>34230.595828314203</v>
      </c>
      <c r="F24">
        <f t="shared" si="1"/>
        <v>34230.5</v>
      </c>
      <c r="G24">
        <f t="shared" si="4"/>
        <v>7.5574999995296821E-2</v>
      </c>
      <c r="N24">
        <f>G24</f>
        <v>7.5574999995296821E-2</v>
      </c>
      <c r="O24">
        <f t="shared" ca="1" si="2"/>
        <v>6.5842872076541631E-2</v>
      </c>
      <c r="Q24" s="2">
        <f t="shared" si="3"/>
        <v>37944.805399999997</v>
      </c>
    </row>
    <row r="25" spans="1:32">
      <c r="A25" s="47" t="s">
        <v>35</v>
      </c>
      <c r="B25" s="48" t="s">
        <v>36</v>
      </c>
      <c r="C25" s="49">
        <v>53290.980499999998</v>
      </c>
      <c r="D25" s="49">
        <v>2.0000000000000001E-4</v>
      </c>
      <c r="E25">
        <f t="shared" si="0"/>
        <v>34646.084448107526</v>
      </c>
      <c r="F25">
        <f t="shared" si="1"/>
        <v>34646</v>
      </c>
      <c r="G25">
        <f t="shared" si="4"/>
        <v>6.6599999998288695E-2</v>
      </c>
      <c r="J25">
        <f>G25</f>
        <v>6.6599999998288695E-2</v>
      </c>
      <c r="O25">
        <f t="shared" ca="1" si="2"/>
        <v>6.7865799038182323E-2</v>
      </c>
      <c r="Q25" s="2">
        <f t="shared" si="3"/>
        <v>38272.480499999998</v>
      </c>
    </row>
    <row r="26" spans="1:32">
      <c r="A26" s="50" t="s">
        <v>42</v>
      </c>
      <c r="B26" s="51" t="s">
        <v>36</v>
      </c>
      <c r="C26" s="52">
        <v>53290.980499999998</v>
      </c>
      <c r="D26" s="52">
        <v>2.0000000000000001E-4</v>
      </c>
      <c r="E26">
        <f t="shared" si="0"/>
        <v>34646.084448107526</v>
      </c>
      <c r="F26">
        <f t="shared" si="1"/>
        <v>34646</v>
      </c>
      <c r="G26">
        <f t="shared" si="4"/>
        <v>6.6599999998288695E-2</v>
      </c>
      <c r="K26">
        <f>G26</f>
        <v>6.6599999998288695E-2</v>
      </c>
      <c r="O26">
        <f t="shared" ca="1" si="2"/>
        <v>6.7865799038182323E-2</v>
      </c>
      <c r="Q26" s="2">
        <f t="shared" si="3"/>
        <v>38272.480499999998</v>
      </c>
    </row>
    <row r="27" spans="1:32">
      <c r="A27" s="47" t="s">
        <v>35</v>
      </c>
      <c r="B27" s="48" t="s">
        <v>37</v>
      </c>
      <c r="C27" s="49">
        <v>53296.898699999998</v>
      </c>
      <c r="D27" s="49">
        <v>4.0000000000000002E-4</v>
      </c>
      <c r="E27">
        <f t="shared" si="0"/>
        <v>34653.588664172952</v>
      </c>
      <c r="F27">
        <f t="shared" si="1"/>
        <v>34653.5</v>
      </c>
      <c r="G27">
        <f t="shared" si="4"/>
        <v>6.9924999996146653E-2</v>
      </c>
      <c r="J27">
        <f>G27</f>
        <v>6.9924999996146653E-2</v>
      </c>
      <c r="O27">
        <f t="shared" ca="1" si="2"/>
        <v>6.7902313965287758E-2</v>
      </c>
      <c r="Q27" s="2">
        <f t="shared" si="3"/>
        <v>38278.398699999998</v>
      </c>
    </row>
    <row r="28" spans="1:32">
      <c r="A28" s="50" t="s">
        <v>42</v>
      </c>
      <c r="B28" s="51" t="s">
        <v>37</v>
      </c>
      <c r="C28" s="52">
        <v>53296.898699999998</v>
      </c>
      <c r="D28" s="52">
        <v>5.0000000000000001E-4</v>
      </c>
      <c r="E28">
        <f t="shared" si="0"/>
        <v>34653.588664172952</v>
      </c>
      <c r="F28">
        <f t="shared" si="1"/>
        <v>34653.5</v>
      </c>
      <c r="G28">
        <f t="shared" si="4"/>
        <v>6.9924999996146653E-2</v>
      </c>
      <c r="K28">
        <f>G28</f>
        <v>6.9924999996146653E-2</v>
      </c>
      <c r="O28">
        <f t="shared" ca="1" si="2"/>
        <v>6.7902313965287758E-2</v>
      </c>
      <c r="Q28" s="2">
        <f t="shared" si="3"/>
        <v>38278.398699999998</v>
      </c>
    </row>
    <row r="29" spans="1:32">
      <c r="A29" s="45" t="s">
        <v>47</v>
      </c>
      <c r="B29" s="46" t="s">
        <v>36</v>
      </c>
      <c r="C29" s="45">
        <v>53409.273999999998</v>
      </c>
      <c r="D29" s="45">
        <v>5.0000000000000001E-3</v>
      </c>
      <c r="E29">
        <f t="shared" si="0"/>
        <v>34796.079376149115</v>
      </c>
      <c r="F29">
        <f t="shared" si="1"/>
        <v>34796</v>
      </c>
      <c r="G29">
        <f t="shared" si="4"/>
        <v>6.2599999997473788E-2</v>
      </c>
      <c r="N29">
        <f>G29</f>
        <v>6.2599999997473788E-2</v>
      </c>
      <c r="O29">
        <f t="shared" ca="1" si="2"/>
        <v>6.8596097580290893E-2</v>
      </c>
      <c r="Q29" s="2">
        <f t="shared" si="3"/>
        <v>38390.773999999998</v>
      </c>
    </row>
    <row r="30" spans="1:32">
      <c r="A30" s="45" t="s">
        <v>43</v>
      </c>
      <c r="B30" s="46" t="s">
        <v>36</v>
      </c>
      <c r="C30" s="45">
        <v>53410.466699999997</v>
      </c>
      <c r="D30" s="45">
        <v>1E-4</v>
      </c>
      <c r="E30">
        <f t="shared" si="0"/>
        <v>34797.591707347994</v>
      </c>
      <c r="F30">
        <f t="shared" si="1"/>
        <v>34797.5</v>
      </c>
      <c r="G30">
        <f t="shared" si="4"/>
        <v>7.2324999993725214E-2</v>
      </c>
      <c r="N30">
        <f>G30</f>
        <v>7.2324999993725214E-2</v>
      </c>
      <c r="O30">
        <f t="shared" ca="1" si="2"/>
        <v>6.8603400565711986E-2</v>
      </c>
      <c r="Q30" s="2">
        <f t="shared" si="3"/>
        <v>38391.966699999997</v>
      </c>
    </row>
    <row r="31" spans="1:32">
      <c r="A31" s="45" t="s">
        <v>57</v>
      </c>
      <c r="B31" s="46" t="s">
        <v>36</v>
      </c>
      <c r="C31" s="45">
        <v>53671.513899999998</v>
      </c>
      <c r="D31" s="45">
        <v>1.1000000000000001E-3</v>
      </c>
      <c r="E31">
        <f t="shared" si="0"/>
        <v>35128.596842705891</v>
      </c>
      <c r="F31">
        <f t="shared" si="1"/>
        <v>35128.5</v>
      </c>
      <c r="G31">
        <f t="shared" si="4"/>
        <v>7.6374999996914994E-2</v>
      </c>
      <c r="N31">
        <f>G31</f>
        <v>7.6374999996914994E-2</v>
      </c>
      <c r="O31">
        <f t="shared" ca="1" si="2"/>
        <v>7.021492601529819E-2</v>
      </c>
      <c r="Q31" s="2">
        <f t="shared" si="3"/>
        <v>38653.013899999998</v>
      </c>
    </row>
    <row r="32" spans="1:32">
      <c r="A32" s="53" t="s">
        <v>41</v>
      </c>
      <c r="B32" s="48"/>
      <c r="C32" s="54">
        <v>53698.712299999999</v>
      </c>
      <c r="D32" s="49">
        <v>2.0000000000000001E-4</v>
      </c>
      <c r="E32">
        <f t="shared" si="0"/>
        <v>35163.084131110125</v>
      </c>
      <c r="F32">
        <f t="shared" si="1"/>
        <v>35163</v>
      </c>
      <c r="G32">
        <f t="shared" si="4"/>
        <v>6.6350000000966247E-2</v>
      </c>
      <c r="L32">
        <f>G32</f>
        <v>6.6350000000966247E-2</v>
      </c>
      <c r="O32">
        <f t="shared" ca="1" si="2"/>
        <v>7.0382894679983155E-2</v>
      </c>
      <c r="Q32" s="2">
        <f t="shared" si="3"/>
        <v>38680.212299999999</v>
      </c>
    </row>
    <row r="33" spans="1:17">
      <c r="A33" s="45" t="s">
        <v>46</v>
      </c>
      <c r="B33" s="46" t="s">
        <v>36</v>
      </c>
      <c r="C33" s="45">
        <v>53769.284399999997</v>
      </c>
      <c r="D33" s="45">
        <v>1.04E-2</v>
      </c>
      <c r="E33">
        <f t="shared" si="0"/>
        <v>35252.568820135668</v>
      </c>
      <c r="F33">
        <f t="shared" si="1"/>
        <v>35252.5</v>
      </c>
      <c r="N33" s="14">
        <v>5.4274999994959217E-2</v>
      </c>
      <c r="O33">
        <f t="shared" ca="1" si="2"/>
        <v>7.0818639476774609E-2</v>
      </c>
      <c r="Q33" s="2">
        <f t="shared" si="3"/>
        <v>38750.784399999997</v>
      </c>
    </row>
    <row r="34" spans="1:17">
      <c r="A34" s="45" t="s">
        <v>57</v>
      </c>
      <c r="B34" s="46" t="s">
        <v>36</v>
      </c>
      <c r="C34" s="45">
        <v>54039.4182</v>
      </c>
      <c r="D34" s="45">
        <v>1.1999999999999999E-3</v>
      </c>
      <c r="E34">
        <f t="shared" si="0"/>
        <v>35595.095669815506</v>
      </c>
      <c r="F34">
        <f t="shared" si="1"/>
        <v>35595</v>
      </c>
      <c r="G34">
        <f t="shared" ref="G34:G39" si="5">+C34-(C$7+F34*C$8)</f>
        <v>7.5450000003911555E-2</v>
      </c>
      <c r="N34">
        <f>G34</f>
        <v>7.5450000003911555E-2</v>
      </c>
      <c r="O34">
        <f t="shared" ca="1" si="2"/>
        <v>7.248615448125581E-2</v>
      </c>
      <c r="Q34" s="2">
        <f t="shared" si="3"/>
        <v>39020.9182</v>
      </c>
    </row>
    <row r="35" spans="1:17">
      <c r="A35" s="26" t="s">
        <v>58</v>
      </c>
      <c r="B35" s="51" t="s">
        <v>36</v>
      </c>
      <c r="C35" s="52">
        <v>54048.879600000102</v>
      </c>
      <c r="D35" s="52">
        <v>2.9999999999999997E-4</v>
      </c>
      <c r="E35">
        <f t="shared" si="0"/>
        <v>35607.092626640588</v>
      </c>
      <c r="F35">
        <f t="shared" si="1"/>
        <v>35607</v>
      </c>
      <c r="G35">
        <f t="shared" si="5"/>
        <v>7.3050000100920442E-2</v>
      </c>
      <c r="K35">
        <f>G35</f>
        <v>7.3050000100920442E-2</v>
      </c>
      <c r="O35">
        <f t="shared" ca="1" si="2"/>
        <v>7.2544578364624496E-2</v>
      </c>
      <c r="Q35" s="2">
        <f t="shared" si="3"/>
        <v>39030.379600000102</v>
      </c>
    </row>
    <row r="36" spans="1:17">
      <c r="A36" s="55" t="s">
        <v>61</v>
      </c>
      <c r="B36" s="48" t="s">
        <v>36</v>
      </c>
      <c r="C36" s="54">
        <v>54532.321340000002</v>
      </c>
      <c r="D36" s="54">
        <v>5.0000000000000001E-4</v>
      </c>
      <c r="E36">
        <f t="shared" si="0"/>
        <v>36220.091726367849</v>
      </c>
      <c r="F36">
        <f t="shared" si="1"/>
        <v>36220</v>
      </c>
      <c r="G36">
        <f t="shared" si="5"/>
        <v>7.2340000006079208E-2</v>
      </c>
      <c r="N36">
        <f t="shared" ref="N36:N41" si="6">G36</f>
        <v>7.2340000006079208E-2</v>
      </c>
      <c r="O36">
        <f t="shared" ca="1" si="2"/>
        <v>7.5529065073374813E-2</v>
      </c>
      <c r="Q36" s="2">
        <f t="shared" si="3"/>
        <v>39513.821340000002</v>
      </c>
    </row>
    <row r="37" spans="1:17">
      <c r="A37" s="45" t="s">
        <v>60</v>
      </c>
      <c r="B37" s="46" t="s">
        <v>36</v>
      </c>
      <c r="C37" s="45">
        <v>54844.6296</v>
      </c>
      <c r="D37" s="45">
        <v>5.9999999999999995E-4</v>
      </c>
      <c r="E37">
        <f t="shared" si="0"/>
        <v>36616.095352818105</v>
      </c>
      <c r="F37">
        <f t="shared" si="1"/>
        <v>36616</v>
      </c>
      <c r="G37">
        <f t="shared" si="5"/>
        <v>7.519999999931315E-2</v>
      </c>
      <c r="N37">
        <f t="shared" si="6"/>
        <v>7.519999999931315E-2</v>
      </c>
      <c r="O37">
        <f t="shared" ca="1" si="2"/>
        <v>7.7457053224541411E-2</v>
      </c>
      <c r="Q37" s="2">
        <f t="shared" si="3"/>
        <v>39826.1296</v>
      </c>
    </row>
    <row r="38" spans="1:17">
      <c r="A38" s="45" t="s">
        <v>62</v>
      </c>
      <c r="B38" s="46" t="s">
        <v>36</v>
      </c>
      <c r="C38" s="45">
        <v>55564.671999999999</v>
      </c>
      <c r="D38" s="45">
        <v>5.0000000000000001E-4</v>
      </c>
      <c r="E38">
        <f t="shared" si="0"/>
        <v>37529.10162936664</v>
      </c>
      <c r="F38">
        <f t="shared" si="1"/>
        <v>37529</v>
      </c>
      <c r="G38">
        <f t="shared" si="5"/>
        <v>8.015000000159489E-2</v>
      </c>
      <c r="N38">
        <f t="shared" si="6"/>
        <v>8.015000000159489E-2</v>
      </c>
      <c r="O38">
        <f t="shared" ca="1" si="2"/>
        <v>8.1902137017508841E-2</v>
      </c>
      <c r="Q38" s="2">
        <f t="shared" si="3"/>
        <v>40546.171999999999</v>
      </c>
    </row>
    <row r="39" spans="1:17">
      <c r="A39" s="45" t="s">
        <v>63</v>
      </c>
      <c r="B39" s="46" t="s">
        <v>37</v>
      </c>
      <c r="C39" s="45">
        <v>55616.333599999998</v>
      </c>
      <c r="D39" s="45">
        <v>2.0999999999999999E-3</v>
      </c>
      <c r="E39">
        <f t="shared" si="0"/>
        <v>37594.608001014392</v>
      </c>
      <c r="F39">
        <f t="shared" si="1"/>
        <v>37594.5</v>
      </c>
      <c r="G39">
        <f t="shared" si="5"/>
        <v>8.5175000000162981E-2</v>
      </c>
      <c r="N39">
        <f t="shared" si="6"/>
        <v>8.5175000000162981E-2</v>
      </c>
      <c r="O39">
        <f t="shared" ca="1" si="2"/>
        <v>8.2221034047562924E-2</v>
      </c>
      <c r="Q39" s="2">
        <f t="shared" si="3"/>
        <v>40597.833599999998</v>
      </c>
    </row>
    <row r="40" spans="1:17">
      <c r="A40" s="54" t="s">
        <v>66</v>
      </c>
      <c r="B40" s="48" t="s">
        <v>36</v>
      </c>
      <c r="C40" s="54">
        <v>55952.6895</v>
      </c>
      <c r="D40" s="54">
        <v>5.9999999999999995E-4</v>
      </c>
      <c r="E40">
        <f>+(C40-C$7)/C$8</f>
        <v>38021.103784948966</v>
      </c>
      <c r="F40">
        <f t="shared" si="1"/>
        <v>38021</v>
      </c>
      <c r="G40">
        <f>+C40-(C$7+F40*C$8)</f>
        <v>8.1849999995029066E-2</v>
      </c>
      <c r="N40">
        <f t="shared" si="6"/>
        <v>8.1849999995029066E-2</v>
      </c>
      <c r="O40">
        <f ca="1">+C$11+C$12*F40</f>
        <v>8.4297516235624925E-2</v>
      </c>
      <c r="Q40" s="2">
        <f>+C40-15018.5</f>
        <v>40934.1895</v>
      </c>
    </row>
    <row r="41" spans="1:17">
      <c r="A41" s="56" t="s">
        <v>67</v>
      </c>
      <c r="B41" s="57" t="s">
        <v>36</v>
      </c>
      <c r="C41" s="58">
        <v>56246.8586</v>
      </c>
      <c r="D41" s="58">
        <v>6.0000000000000006E-4</v>
      </c>
      <c r="E41">
        <f>+(C41-C$7)/C$8</f>
        <v>38394.107145121408</v>
      </c>
      <c r="F41">
        <f t="shared" si="1"/>
        <v>38394</v>
      </c>
      <c r="G41">
        <f>+C41-(C$7+F41*C$8)</f>
        <v>8.450000000448199E-2</v>
      </c>
      <c r="N41">
        <f t="shared" si="6"/>
        <v>8.450000000448199E-2</v>
      </c>
      <c r="O41">
        <f ca="1">+C$11+C$12*F41</f>
        <v>8.6113525277001557E-2</v>
      </c>
      <c r="Q41" s="2">
        <f>+C41-15018.5</f>
        <v>41228.3586</v>
      </c>
    </row>
    <row r="42" spans="1:17">
      <c r="A42" s="21"/>
      <c r="B42" s="6"/>
      <c r="C42" s="17"/>
      <c r="D42" s="17"/>
      <c r="Q42" s="2"/>
    </row>
    <row r="43" spans="1:17">
      <c r="A43" s="15"/>
      <c r="B43" s="16"/>
      <c r="C43" s="17"/>
      <c r="D43" s="17"/>
      <c r="Q43" s="2"/>
    </row>
    <row r="44" spans="1:17">
      <c r="A44" s="25"/>
      <c r="B44" s="16"/>
      <c r="C44" s="17"/>
      <c r="D44" s="17"/>
      <c r="Q44" s="2"/>
    </row>
    <row r="45" spans="1:17">
      <c r="A45" s="21"/>
      <c r="B45" s="22"/>
      <c r="C45" s="17"/>
      <c r="D45" s="17"/>
      <c r="Q45" s="2"/>
    </row>
    <row r="46" spans="1:17">
      <c r="A46" s="25"/>
      <c r="B46" s="16"/>
      <c r="C46" s="17"/>
      <c r="D46" s="17"/>
      <c r="Q46" s="2"/>
    </row>
    <row r="47" spans="1:17">
      <c r="A47" s="43"/>
      <c r="B47" s="44"/>
      <c r="C47" s="43"/>
      <c r="D47" s="43"/>
      <c r="Q47" s="2"/>
    </row>
    <row r="48" spans="1:17">
      <c r="A48" s="43"/>
      <c r="B48" s="44"/>
      <c r="C48" s="43"/>
      <c r="D48" s="43"/>
      <c r="Q48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workbookViewId="0">
      <selection activeCell="E4" sqref="E3:E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26</v>
      </c>
    </row>
    <row r="4" spans="1:4">
      <c r="A4" s="8" t="s">
        <v>0</v>
      </c>
      <c r="C4" s="3">
        <v>25967.346000000001</v>
      </c>
      <c r="D4" s="4">
        <v>0.78864999999999996</v>
      </c>
    </row>
    <row r="6" spans="1:4">
      <c r="A6" s="8" t="s">
        <v>1</v>
      </c>
    </row>
    <row r="7" spans="1:4">
      <c r="A7" t="s">
        <v>2</v>
      </c>
      <c r="C7">
        <f>+C4</f>
        <v>25967.346000000001</v>
      </c>
    </row>
    <row r="8" spans="1:4">
      <c r="A8" t="s">
        <v>3</v>
      </c>
      <c r="C8">
        <f>+D4</f>
        <v>0.78864999999999996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INTERCEPT(G21:G993,F21:F993)</f>
        <v>-1.3807227356276361E-3</v>
      </c>
      <c r="D11" s="6"/>
    </row>
    <row r="12" spans="1:4">
      <c r="A12" t="s">
        <v>17</v>
      </c>
      <c r="C12">
        <f>SLOPE(G21:G993,F21:F993)</f>
        <v>1.8566380158865192E-6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 s="11">
        <v>50151.341800000002</v>
      </c>
    </row>
    <row r="16" spans="1:4">
      <c r="A16" s="8" t="s">
        <v>4</v>
      </c>
      <c r="C16">
        <f>+C8+C12</f>
        <v>0.78865185663801585</v>
      </c>
    </row>
    <row r="17" spans="1:32" ht="13.5" thickBot="1"/>
    <row r="18" spans="1:32">
      <c r="A18" s="8" t="s">
        <v>5</v>
      </c>
      <c r="C18" s="3">
        <f>+C15</f>
        <v>50151.341800000002</v>
      </c>
      <c r="D18" s="4">
        <f>+C16</f>
        <v>0.78865185663801585</v>
      </c>
    </row>
    <row r="19" spans="1:32" ht="13.5" thickTop="1"/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35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2">
      <c r="A21" t="s">
        <v>12</v>
      </c>
      <c r="C21">
        <v>25967.346000000001</v>
      </c>
      <c r="D21" s="6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-1.3807227356276361E-3</v>
      </c>
      <c r="Q21" s="2">
        <f>+C21-15018.5</f>
        <v>10948.846000000001</v>
      </c>
    </row>
    <row r="22" spans="1:32">
      <c r="A22" t="s">
        <v>34</v>
      </c>
      <c r="C22" s="11">
        <v>50151.341800000002</v>
      </c>
      <c r="D22">
        <v>2.3E-3</v>
      </c>
      <c r="E22">
        <f>+(C22-C$7)/C$8</f>
        <v>30665.05522094719</v>
      </c>
      <c r="F22">
        <f>ROUND(2*E22,0)/2</f>
        <v>30665</v>
      </c>
      <c r="G22">
        <f>+C22-(C$7+F22*C$8)</f>
        <v>4.3550000002142042E-2</v>
      </c>
      <c r="I22">
        <f>G22</f>
        <v>4.3550000002142042E-2</v>
      </c>
      <c r="O22">
        <f>+C$11+C$12*F22</f>
        <v>5.5553082021532474E-2</v>
      </c>
      <c r="Q22" s="2">
        <f>+C22-15018.5</f>
        <v>35132.841800000002</v>
      </c>
      <c r="AA22">
        <v>14</v>
      </c>
      <c r="AC22" t="s">
        <v>33</v>
      </c>
      <c r="AE22" t="s">
        <v>30</v>
      </c>
      <c r="AF22" t="s">
        <v>30</v>
      </c>
    </row>
    <row r="23" spans="1:32">
      <c r="A23" t="s">
        <v>35</v>
      </c>
      <c r="B23" t="s">
        <v>36</v>
      </c>
      <c r="C23" s="12">
        <v>53290.980499999998</v>
      </c>
      <c r="D23" s="13">
        <v>2.0000000000000001E-4</v>
      </c>
      <c r="E23">
        <f>+(C23-C$7)/C$8</f>
        <v>34646.084448107526</v>
      </c>
      <c r="F23">
        <f>ROUND(2*E23,0)/2</f>
        <v>34646</v>
      </c>
      <c r="G23">
        <f>+C23-(C$7+F23*C$8)</f>
        <v>6.6599999998288695E-2</v>
      </c>
      <c r="J23">
        <f>G23</f>
        <v>6.6599999998288695E-2</v>
      </c>
      <c r="O23">
        <f>+C$11+C$12*F23</f>
        <v>6.2944357962776698E-2</v>
      </c>
      <c r="Q23" s="2">
        <f>+C23-15018.5</f>
        <v>38272.480499999998</v>
      </c>
    </row>
    <row r="24" spans="1:32">
      <c r="A24" t="s">
        <v>35</v>
      </c>
      <c r="B24" t="s">
        <v>37</v>
      </c>
      <c r="C24" s="12">
        <v>53296.898699999998</v>
      </c>
      <c r="D24" s="13">
        <v>4.0000000000000002E-4</v>
      </c>
      <c r="E24">
        <f>+(C24-C$7)/C$8</f>
        <v>34653.588664172952</v>
      </c>
      <c r="F24">
        <f>ROUND(2*E24,0)/2</f>
        <v>34653.5</v>
      </c>
      <c r="G24">
        <f>+C24-(C$7+F24*C$8)</f>
        <v>6.9924999996146653E-2</v>
      </c>
      <c r="J24">
        <f>G24</f>
        <v>6.9924999996146653E-2</v>
      </c>
      <c r="O24">
        <f>+C$11+C$12*F24</f>
        <v>6.2958282747895861E-2</v>
      </c>
      <c r="Q24" s="2">
        <f>+C24-15018.5</f>
        <v>38278.398699999998</v>
      </c>
    </row>
    <row r="25" spans="1:32">
      <c r="C25" s="11"/>
      <c r="Q25" s="2"/>
    </row>
    <row r="26" spans="1:32">
      <c r="D26" s="6"/>
      <c r="Q26" s="2"/>
    </row>
    <row r="27" spans="1:32">
      <c r="D27" s="6"/>
      <c r="Q27" s="2"/>
    </row>
    <row r="28" spans="1:32">
      <c r="D28" s="6"/>
    </row>
    <row r="29" spans="1:32">
      <c r="D29" s="6"/>
    </row>
    <row r="30" spans="1:32">
      <c r="D30" s="6"/>
    </row>
    <row r="31" spans="1:32">
      <c r="D31" s="6"/>
    </row>
    <row r="32" spans="1:32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2024-01-13T05:48:48Z</dcterms:modified>
</cp:coreProperties>
</file>