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F6D1B00-3472-4773-9520-F747CF1017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F16" i="1"/>
  <c r="F17" i="1" s="1"/>
  <c r="E43" i="1"/>
  <c r="F43" i="1"/>
  <c r="E50" i="1"/>
  <c r="F50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3" i="1"/>
  <c r="Q54" i="1"/>
  <c r="G11" i="2"/>
  <c r="C11" i="2"/>
  <c r="G18" i="2"/>
  <c r="C18" i="2"/>
  <c r="G19" i="2"/>
  <c r="C19" i="2"/>
  <c r="G20" i="2"/>
  <c r="C20" i="2"/>
  <c r="G21" i="2"/>
  <c r="C21" i="2"/>
  <c r="G22" i="2"/>
  <c r="C22" i="2"/>
  <c r="G23" i="2"/>
  <c r="C23" i="2"/>
  <c r="G24" i="2"/>
  <c r="C24" i="2"/>
  <c r="G25" i="2"/>
  <c r="C25" i="2"/>
  <c r="G26" i="2"/>
  <c r="C26" i="2"/>
  <c r="G27" i="2"/>
  <c r="C27" i="2"/>
  <c r="G28" i="2"/>
  <c r="C28" i="2"/>
  <c r="G29" i="2"/>
  <c r="C29" i="2"/>
  <c r="G30" i="2"/>
  <c r="C30" i="2"/>
  <c r="G31" i="2"/>
  <c r="C31" i="2"/>
  <c r="G32" i="2"/>
  <c r="C32" i="2"/>
  <c r="G33" i="2"/>
  <c r="C33" i="2"/>
  <c r="G34" i="2"/>
  <c r="C34" i="2"/>
  <c r="G35" i="2"/>
  <c r="C35" i="2"/>
  <c r="G36" i="2"/>
  <c r="C36" i="2"/>
  <c r="G37" i="2"/>
  <c r="C37" i="2"/>
  <c r="G38" i="2"/>
  <c r="C38" i="2"/>
  <c r="E38" i="2"/>
  <c r="G39" i="2"/>
  <c r="C39" i="2"/>
  <c r="G40" i="2"/>
  <c r="C40" i="2"/>
  <c r="G41" i="2"/>
  <c r="C41" i="2"/>
  <c r="G42" i="2"/>
  <c r="C42" i="2"/>
  <c r="G43" i="2"/>
  <c r="C43" i="2"/>
  <c r="G12" i="2"/>
  <c r="C12" i="2"/>
  <c r="G13" i="2"/>
  <c r="C13" i="2"/>
  <c r="G14" i="2"/>
  <c r="C14" i="2"/>
  <c r="G15" i="2"/>
  <c r="C15" i="2"/>
  <c r="G44" i="2"/>
  <c r="C44" i="2"/>
  <c r="G45" i="2"/>
  <c r="C45" i="2"/>
  <c r="G16" i="2"/>
  <c r="C16" i="2"/>
  <c r="G17" i="2"/>
  <c r="C17" i="2"/>
  <c r="H16" i="2"/>
  <c r="D16" i="2"/>
  <c r="B16" i="2"/>
  <c r="A16" i="2"/>
  <c r="H45" i="2"/>
  <c r="B45" i="2"/>
  <c r="D45" i="2"/>
  <c r="A45" i="2"/>
  <c r="H44" i="2"/>
  <c r="D44" i="2"/>
  <c r="B44" i="2"/>
  <c r="A44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1" i="2"/>
  <c r="B11" i="2"/>
  <c r="D11" i="2"/>
  <c r="A11" i="2"/>
  <c r="H17" i="2"/>
  <c r="D17" i="2"/>
  <c r="B17" i="2"/>
  <c r="A17" i="2"/>
  <c r="Q55" i="1"/>
  <c r="C17" i="1"/>
  <c r="Q49" i="1"/>
  <c r="Q50" i="1"/>
  <c r="Q51" i="1"/>
  <c r="Q52" i="1"/>
  <c r="C7" i="1"/>
  <c r="C8" i="1"/>
  <c r="E16" i="2"/>
  <c r="E33" i="2"/>
  <c r="E28" i="2"/>
  <c r="E12" i="2"/>
  <c r="E42" i="2"/>
  <c r="E37" i="2"/>
  <c r="E14" i="2"/>
  <c r="E40" i="2"/>
  <c r="E34" i="2"/>
  <c r="E29" i="2"/>
  <c r="E54" i="1"/>
  <c r="F54" i="1"/>
  <c r="G54" i="1"/>
  <c r="I54" i="1"/>
  <c r="E42" i="1"/>
  <c r="F42" i="1"/>
  <c r="E34" i="1"/>
  <c r="F34" i="1"/>
  <c r="G34" i="1"/>
  <c r="I34" i="1"/>
  <c r="G28" i="1"/>
  <c r="I28" i="1"/>
  <c r="E26" i="1"/>
  <c r="F26" i="1"/>
  <c r="G26" i="1"/>
  <c r="I26" i="1"/>
  <c r="E49" i="1"/>
  <c r="F49" i="1"/>
  <c r="G53" i="1"/>
  <c r="I53" i="1"/>
  <c r="E47" i="1"/>
  <c r="F47" i="1"/>
  <c r="E39" i="1"/>
  <c r="F39" i="1"/>
  <c r="G33" i="1"/>
  <c r="I33" i="1"/>
  <c r="E31" i="1"/>
  <c r="F31" i="1"/>
  <c r="G25" i="1"/>
  <c r="H25" i="1"/>
  <c r="E23" i="1"/>
  <c r="F23" i="1"/>
  <c r="G23" i="1"/>
  <c r="I23" i="1"/>
  <c r="E13" i="2"/>
  <c r="E51" i="1"/>
  <c r="F51" i="1"/>
  <c r="G51" i="1"/>
  <c r="I51" i="1"/>
  <c r="E44" i="1"/>
  <c r="F44" i="1"/>
  <c r="G44" i="1"/>
  <c r="I44" i="1"/>
  <c r="G38" i="1"/>
  <c r="I38" i="1"/>
  <c r="E36" i="1"/>
  <c r="F36" i="1"/>
  <c r="G36" i="1"/>
  <c r="I36" i="1"/>
  <c r="E28" i="1"/>
  <c r="F28" i="1"/>
  <c r="G50" i="1"/>
  <c r="I50" i="1"/>
  <c r="E53" i="1"/>
  <c r="F53" i="1"/>
  <c r="G43" i="1"/>
  <c r="I43" i="1"/>
  <c r="E41" i="1"/>
  <c r="F41" i="1"/>
  <c r="G41" i="1"/>
  <c r="I41" i="1"/>
  <c r="G35" i="1"/>
  <c r="I35" i="1"/>
  <c r="E33" i="1"/>
  <c r="F33" i="1"/>
  <c r="E25" i="1"/>
  <c r="F25" i="1"/>
  <c r="E55" i="1"/>
  <c r="F55" i="1"/>
  <c r="G55" i="1"/>
  <c r="K55" i="1"/>
  <c r="E46" i="1"/>
  <c r="F46" i="1"/>
  <c r="G46" i="1"/>
  <c r="I46" i="1"/>
  <c r="G40" i="1"/>
  <c r="I40" i="1"/>
  <c r="E38" i="1"/>
  <c r="F38" i="1"/>
  <c r="G32" i="1"/>
  <c r="H32" i="1"/>
  <c r="E30" i="1"/>
  <c r="F30" i="1"/>
  <c r="G30" i="1"/>
  <c r="E35" i="1"/>
  <c r="F35" i="1"/>
  <c r="E27" i="1"/>
  <c r="F27" i="1"/>
  <c r="G27" i="1"/>
  <c r="I27" i="1"/>
  <c r="E21" i="1"/>
  <c r="F21" i="1"/>
  <c r="G21" i="1"/>
  <c r="I21" i="1"/>
  <c r="E48" i="1"/>
  <c r="F48" i="1"/>
  <c r="G48" i="1"/>
  <c r="I48" i="1"/>
  <c r="G42" i="1"/>
  <c r="I42" i="1"/>
  <c r="E40" i="1"/>
  <c r="F40" i="1"/>
  <c r="E32" i="1"/>
  <c r="F32" i="1"/>
  <c r="E24" i="1"/>
  <c r="F24" i="1"/>
  <c r="G24" i="1"/>
  <c r="I24" i="1"/>
  <c r="E22" i="1"/>
  <c r="F22" i="1"/>
  <c r="E52" i="1"/>
  <c r="F52" i="1"/>
  <c r="G52" i="1"/>
  <c r="I52" i="1"/>
  <c r="G47" i="1"/>
  <c r="I47" i="1"/>
  <c r="E45" i="1"/>
  <c r="F45" i="1"/>
  <c r="G45" i="1"/>
  <c r="I45" i="1"/>
  <c r="G39" i="1"/>
  <c r="I39" i="1"/>
  <c r="E37" i="1"/>
  <c r="F37" i="1"/>
  <c r="G37" i="1"/>
  <c r="I37" i="1"/>
  <c r="G31" i="1"/>
  <c r="I31" i="1"/>
  <c r="E29" i="1"/>
  <c r="F29" i="1"/>
  <c r="G29" i="1"/>
  <c r="H29" i="1"/>
  <c r="I30" i="1"/>
  <c r="E18" i="2"/>
  <c r="E20" i="2"/>
  <c r="E44" i="2"/>
  <c r="E26" i="2"/>
  <c r="E17" i="2"/>
  <c r="E30" i="2"/>
  <c r="E25" i="2"/>
  <c r="E27" i="2"/>
  <c r="E21" i="2"/>
  <c r="E15" i="2"/>
  <c r="E11" i="2"/>
  <c r="E36" i="2"/>
  <c r="E31" i="2"/>
  <c r="E32" i="2"/>
  <c r="E43" i="2"/>
  <c r="E23" i="2"/>
  <c r="E19" i="2"/>
  <c r="E45" i="2"/>
  <c r="E35" i="2"/>
  <c r="E24" i="2"/>
  <c r="E39" i="2"/>
  <c r="E22" i="2"/>
  <c r="E41" i="2"/>
  <c r="C11" i="1"/>
  <c r="C12" i="1"/>
  <c r="C16" i="1" l="1"/>
  <c r="D18" i="1" s="1"/>
  <c r="O30" i="1"/>
  <c r="O23" i="1"/>
  <c r="O42" i="1"/>
  <c r="O32" i="1"/>
  <c r="O35" i="1"/>
  <c r="O55" i="1"/>
  <c r="O27" i="1"/>
  <c r="O38" i="1"/>
  <c r="O31" i="1"/>
  <c r="O54" i="1"/>
  <c r="O40" i="1"/>
  <c r="O46" i="1"/>
  <c r="O48" i="1"/>
  <c r="O39" i="1"/>
  <c r="O43" i="1"/>
  <c r="O25" i="1"/>
  <c r="O47" i="1"/>
  <c r="O29" i="1"/>
  <c r="O22" i="1"/>
  <c r="O53" i="1"/>
  <c r="O50" i="1"/>
  <c r="O37" i="1"/>
  <c r="C15" i="1"/>
  <c r="O21" i="1"/>
  <c r="O49" i="1"/>
  <c r="O45" i="1"/>
  <c r="O33" i="1"/>
  <c r="O36" i="1"/>
  <c r="O26" i="1"/>
  <c r="O51" i="1"/>
  <c r="O52" i="1"/>
  <c r="O28" i="1"/>
  <c r="O41" i="1"/>
  <c r="O44" i="1"/>
  <c r="O34" i="1"/>
  <c r="O24" i="1"/>
  <c r="C18" i="1" l="1"/>
  <c r="F18" i="1"/>
  <c r="F19" i="1" s="1"/>
</calcChain>
</file>

<file path=xl/sharedStrings.xml><?xml version="1.0" encoding="utf-8"?>
<sst xmlns="http://schemas.openxmlformats.org/spreadsheetml/2006/main" count="404" uniqueCount="197">
  <si>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</si>
  <si>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</si>
  <si>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</si>
  <si>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</si>
  <si>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</si>
  <si>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</si>
  <si>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</si>
  <si>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</si>
  <si>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</si>
  <si>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</si>
  <si>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</si>
  <si>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</si>
  <si>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</si>
  <si>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</si>
  <si>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</si>
  <si>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</si>
  <si>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</si>
  <si>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</si>
  <si>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</si>
  <si>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</si>
  <si>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</si>
  <si>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</si>
  <si>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</si>
  <si>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</si>
  <si>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</si>
  <si>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</si>
  <si>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Bull.78</t>
  </si>
  <si>
    <t>B</t>
  </si>
  <si>
    <t>BBSAG Bull.82</t>
  </si>
  <si>
    <t>BBSAG Bull.94</t>
  </si>
  <si>
    <t>BBSAG Bull.99</t>
  </si>
  <si>
    <t>EB</t>
  </si>
  <si>
    <t>XX Aur / gsc 2915-0914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</si>
  <si>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</si>
  <si>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</si>
  <si>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</si>
  <si>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</si>
  <si>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</si>
  <si>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</si>
  <si>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5802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</si>
  <si>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</si>
  <si>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</si>
  <si>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</si>
  <si>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</si>
  <si>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</si>
  <si>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</si>
  <si>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</si>
  <si>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</si>
  <si>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</si>
  <si>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</si>
  <si>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</si>
  <si>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</si>
  <si>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2414749.29 </t>
  </si>
  <si>
    <t> 04.04.1899 18:57 </t>
  </si>
  <si>
    <t> -0.57 </t>
  </si>
  <si>
    <t>P </t>
  </si>
  <si>
    <t> P.Parenago </t>
  </si>
  <si>
    <t> PZ 4.155 </t>
  </si>
  <si>
    <t>2415017.35 </t>
  </si>
  <si>
    <t> 28.12.1899 20:24 </t>
  </si>
  <si>
    <t> -0.42 </t>
  </si>
  <si>
    <t>2417642.34 </t>
  </si>
  <si>
    <t> 07.03.1907 20:09 </t>
  </si>
  <si>
    <t> -0.40 </t>
  </si>
  <si>
    <t>2420207.28 </t>
  </si>
  <si>
    <t> 15.03.1914 18:43 </t>
  </si>
  <si>
    <t> -0.90 </t>
  </si>
  <si>
    <t>2421252.45 </t>
  </si>
  <si>
    <t> 23.01.1917 22:48 </t>
  </si>
  <si>
    <t> -0.31 </t>
  </si>
  <si>
    <t> M.Wolf </t>
  </si>
  <si>
    <t> AN 204.295 </t>
  </si>
  <si>
    <t>2421252.483 </t>
  </si>
  <si>
    <t> 23.01.1917 23:35 </t>
  </si>
  <si>
    <t> -0.280 </t>
  </si>
  <si>
    <t> P.Ahnert </t>
  </si>
  <si>
    <t> MVS 48 </t>
  </si>
  <si>
    <t>2425620.21 </t>
  </si>
  <si>
    <t> 08.01.1929 17:02 </t>
  </si>
  <si>
    <t> -0.30 </t>
  </si>
  <si>
    <t>V </t>
  </si>
  <si>
    <t> W.Zessewitsch </t>
  </si>
  <si>
    <t> IODE 4.1.109 </t>
  </si>
  <si>
    <t>2425623.19 </t>
  </si>
  <si>
    <t> 11.01.1929 16:33 </t>
  </si>
  <si>
    <t> -0.02 </t>
  </si>
  <si>
    <t>2425682.47 </t>
  </si>
  <si>
    <t> 11.03.1929 23:16 </t>
  </si>
  <si>
    <t> -0.28 </t>
  </si>
  <si>
    <t> H.Rügemer </t>
  </si>
  <si>
    <t> AN 251.311 </t>
  </si>
  <si>
    <t>2426735.38 </t>
  </si>
  <si>
    <t> 28.01.1932 21:07 </t>
  </si>
  <si>
    <t> -0.06 </t>
  </si>
  <si>
    <t> H.Schneller </t>
  </si>
  <si>
    <t> MVS 475 </t>
  </si>
  <si>
    <t>2426735.384 </t>
  </si>
  <si>
    <t> 28.01.1932 21:12 </t>
  </si>
  <si>
    <t> -0.061 </t>
  </si>
  <si>
    <t>2426735.40 </t>
  </si>
  <si>
    <t> 28.01.1932 21:36 </t>
  </si>
  <si>
    <t> -0.04 </t>
  </si>
  <si>
    <t>2427060.329 </t>
  </si>
  <si>
    <t> 18.12.1932 19:53 </t>
  </si>
  <si>
    <t> 0.145 </t>
  </si>
  <si>
    <t> A.van de Voorde </t>
  </si>
  <si>
    <t> MVS 68 </t>
  </si>
  <si>
    <t>2427368.450 </t>
  </si>
  <si>
    <t> 22.10.1933 22:48 </t>
  </si>
  <si>
    <t> -0.237 </t>
  </si>
  <si>
    <t>2427688.603 </t>
  </si>
  <si>
    <t> 08.09.1934 02:28 </t>
  </si>
  <si>
    <t> 0.589 </t>
  </si>
  <si>
    <t>2427698.577 </t>
  </si>
  <si>
    <t> 18.09.1934 01:50 </t>
  </si>
  <si>
    <t> -0.261 </t>
  </si>
  <si>
    <t>2427698.579 </t>
  </si>
  <si>
    <t> 18.09.1934 01:53 </t>
  </si>
  <si>
    <t> -0.259 </t>
  </si>
  <si>
    <t>2428597.32 </t>
  </si>
  <si>
    <t> 04.03.1937 19:40 </t>
  </si>
  <si>
    <t> 0.04 </t>
  </si>
  <si>
    <t> N.E.Kurochkin </t>
  </si>
  <si>
    <t> PZ 8.351 </t>
  </si>
  <si>
    <t>2428835.46 </t>
  </si>
  <si>
    <t> 28.10.1937 23:02 </t>
  </si>
  <si>
    <t> 0.03 </t>
  </si>
  <si>
    <t> W.Wenzel </t>
  </si>
  <si>
    <t>2428954.35 </t>
  </si>
  <si>
    <t> 24.02.1938 20:24 </t>
  </si>
  <si>
    <t> -0.15 </t>
  </si>
  <si>
    <t>2429165.602 </t>
  </si>
  <si>
    <t> 24.09.1938 02:26 </t>
  </si>
  <si>
    <t> 0.024 </t>
  </si>
  <si>
    <t>2429306.40 </t>
  </si>
  <si>
    <t> 11.02.1939 21:36 </t>
  </si>
  <si>
    <t> 0.10 </t>
  </si>
  <si>
    <t>2430069.319 </t>
  </si>
  <si>
    <t> 15.03.1941 19:39 </t>
  </si>
  <si>
    <t> -0.116 </t>
  </si>
  <si>
    <t>2430789.332 </t>
  </si>
  <si>
    <t> 05.03.1943 19:58 </t>
  </si>
  <si>
    <t> 0.058 </t>
  </si>
  <si>
    <t>2435476.43 </t>
  </si>
  <si>
    <t> 03.01.1956 22:19 </t>
  </si>
  <si>
    <t> 0.09 </t>
  </si>
  <si>
    <t>2436163.53 </t>
  </si>
  <si>
    <t> 21.11.1957 00:43 </t>
  </si>
  <si>
    <t> -0.18 </t>
  </si>
  <si>
    <t>2436461.579 </t>
  </si>
  <si>
    <t> 15.09.1958 01:53 </t>
  </si>
  <si>
    <t> 0.191 </t>
  </si>
  <si>
    <t>2436607.47 </t>
  </si>
  <si>
    <t> 07.02.1959 23:16 </t>
  </si>
  <si>
    <t> -0.05 </t>
  </si>
  <si>
    <t>2446349.642 </t>
  </si>
  <si>
    <t> 11.10.1985 03:24 </t>
  </si>
  <si>
    <t> -0.058 </t>
  </si>
  <si>
    <t> K.Locher </t>
  </si>
  <si>
    <t> BBS 78 </t>
  </si>
  <si>
    <t>2446766.472 </t>
  </si>
  <si>
    <t> 01.12.1986 23:19 </t>
  </si>
  <si>
    <t> 0.023 </t>
  </si>
  <si>
    <t> BBS 82 </t>
  </si>
  <si>
    <t>2447908.457 </t>
  </si>
  <si>
    <t> 16.01.1990 22:58 </t>
  </si>
  <si>
    <t> 0.008 </t>
  </si>
  <si>
    <t> BBS 94 </t>
  </si>
  <si>
    <t>2448606.622 </t>
  </si>
  <si>
    <t> 16.12.1991 02:55 </t>
  </si>
  <si>
    <t> -0.016 </t>
  </si>
  <si>
    <t> BBS 99 </t>
  </si>
  <si>
    <t>2450836.546 </t>
  </si>
  <si>
    <t> 23.01.1998 01:06 </t>
  </si>
  <si>
    <t> 0.031 </t>
  </si>
  <si>
    <t> P.Guilbault </t>
  </si>
  <si>
    <t> BBS 123 </t>
  </si>
  <si>
    <t>2451139.648 </t>
  </si>
  <si>
    <t> 22.11.1998 03:33 </t>
  </si>
  <si>
    <t> 0.043 </t>
  </si>
  <si>
    <t>2454116.3561 </t>
  </si>
  <si>
    <t> 15.01.2007 20:32 </t>
  </si>
  <si>
    <t> -0.0259 </t>
  </si>
  <si>
    <t>C </t>
  </si>
  <si>
    <t>-I</t>
  </si>
  <si>
    <t> F.Agerer </t>
  </si>
  <si>
    <t>BAVM 186 </t>
  </si>
  <si>
    <t>II</t>
  </si>
  <si>
    <t>I</t>
  </si>
  <si>
    <t>s5</t>
  </si>
  <si>
    <t>s6</t>
  </si>
  <si>
    <t>s7</t>
  </si>
  <si>
    <t>1899-12-28</t>
  </si>
  <si>
    <t>1899-04-04</t>
  </si>
  <si>
    <t>Start of linear fit &gt;&gt;&gt;&gt;&gt;&gt;&gt;&gt;&gt;&gt;&gt;&gt;&gt;&gt;&gt;&gt;&gt;&gt;&gt;&gt;&gt;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</si>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</sst>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0" borderId="0" xfId="0" applyFont="1" applyAlignment="1"/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4" fontId="0" fillId="0" borderId="0" xfId="0" quotePrefix="1" applyNumberFormat="1" applyAlignment="1"/>
    <xf numFmtId="0" fontId="18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 vertical="top"/>
    </xf>
    <xf numFmtId="0" fontId="9" fillId="0" borderId="0" xfId="0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Aur - O-C Diagr.</a:t>
            </a:r>
          </a:p>
        </c:rich>
      </c:tx>
      <c:layout>
        <c:manualLayout>
          <c:xMode val="edge"/>
          <c:yMode val="edge"/>
          <c:x val="0.3450417561441183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768602878642818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-49.5</c:v>
                </c:pt>
                <c:pt idx="1">
                  <c:v>0</c:v>
                </c:pt>
                <c:pt idx="2">
                  <c:v>485</c:v>
                </c:pt>
                <c:pt idx="3">
                  <c:v>959</c:v>
                </c:pt>
                <c:pt idx="4">
                  <c:v>1152</c:v>
                </c:pt>
                <c:pt idx="5">
                  <c:v>1152</c:v>
                </c:pt>
                <c:pt idx="6">
                  <c:v>1959</c:v>
                </c:pt>
                <c:pt idx="7">
                  <c:v>1959.5</c:v>
                </c:pt>
                <c:pt idx="8">
                  <c:v>1970.5</c:v>
                </c:pt>
                <c:pt idx="9">
                  <c:v>2165</c:v>
                </c:pt>
                <c:pt idx="10">
                  <c:v>2165</c:v>
                </c:pt>
                <c:pt idx="11">
                  <c:v>2165</c:v>
                </c:pt>
                <c:pt idx="12">
                  <c:v>2225</c:v>
                </c:pt>
                <c:pt idx="13">
                  <c:v>2282</c:v>
                </c:pt>
                <c:pt idx="14">
                  <c:v>2341</c:v>
                </c:pt>
                <c:pt idx="15">
                  <c:v>2343</c:v>
                </c:pt>
                <c:pt idx="16">
                  <c:v>2343</c:v>
                </c:pt>
                <c:pt idx="17">
                  <c:v>2509</c:v>
                </c:pt>
                <c:pt idx="18">
                  <c:v>2553</c:v>
                </c:pt>
                <c:pt idx="19">
                  <c:v>2575</c:v>
                </c:pt>
                <c:pt idx="20">
                  <c:v>2614</c:v>
                </c:pt>
                <c:pt idx="21">
                  <c:v>2640</c:v>
                </c:pt>
                <c:pt idx="22">
                  <c:v>2781</c:v>
                </c:pt>
                <c:pt idx="23">
                  <c:v>2914</c:v>
                </c:pt>
                <c:pt idx="24">
                  <c:v>3780</c:v>
                </c:pt>
                <c:pt idx="25">
                  <c:v>3907</c:v>
                </c:pt>
                <c:pt idx="26">
                  <c:v>3962</c:v>
                </c:pt>
                <c:pt idx="27">
                  <c:v>3989</c:v>
                </c:pt>
                <c:pt idx="28">
                  <c:v>5789</c:v>
                </c:pt>
                <c:pt idx="29">
                  <c:v>5866</c:v>
                </c:pt>
                <c:pt idx="30">
                  <c:v>6077</c:v>
                </c:pt>
                <c:pt idx="31">
                  <c:v>6206</c:v>
                </c:pt>
                <c:pt idx="32">
                  <c:v>6618</c:v>
                </c:pt>
                <c:pt idx="33">
                  <c:v>6674</c:v>
                </c:pt>
                <c:pt idx="34">
                  <c:v>7224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4">
                  <c:v>-3.3183999999891967E-2</c:v>
                </c:pt>
                <c:pt idx="8">
                  <c:v>-9.6960999999282649E-2</c:v>
                </c:pt>
                <c:pt idx="11">
                  <c:v>0.11306999999942491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53-4130-B88E-7FE10EB959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-49.5</c:v>
                </c:pt>
                <c:pt idx="1">
                  <c:v>0</c:v>
                </c:pt>
                <c:pt idx="2">
                  <c:v>485</c:v>
                </c:pt>
                <c:pt idx="3">
                  <c:v>959</c:v>
                </c:pt>
                <c:pt idx="4">
                  <c:v>1152</c:v>
                </c:pt>
                <c:pt idx="5">
                  <c:v>1152</c:v>
                </c:pt>
                <c:pt idx="6">
                  <c:v>1959</c:v>
                </c:pt>
                <c:pt idx="7">
                  <c:v>1959.5</c:v>
                </c:pt>
                <c:pt idx="8">
                  <c:v>1970.5</c:v>
                </c:pt>
                <c:pt idx="9">
                  <c:v>2165</c:v>
                </c:pt>
                <c:pt idx="10">
                  <c:v>2165</c:v>
                </c:pt>
                <c:pt idx="11">
                  <c:v>2165</c:v>
                </c:pt>
                <c:pt idx="12">
                  <c:v>2225</c:v>
                </c:pt>
                <c:pt idx="13">
                  <c:v>2282</c:v>
                </c:pt>
                <c:pt idx="14">
                  <c:v>2341</c:v>
                </c:pt>
                <c:pt idx="15">
                  <c:v>2343</c:v>
                </c:pt>
                <c:pt idx="16">
                  <c:v>2343</c:v>
                </c:pt>
                <c:pt idx="17">
                  <c:v>2509</c:v>
                </c:pt>
                <c:pt idx="18">
                  <c:v>2553</c:v>
                </c:pt>
                <c:pt idx="19">
                  <c:v>2575</c:v>
                </c:pt>
                <c:pt idx="20">
                  <c:v>2614</c:v>
                </c:pt>
                <c:pt idx="21">
                  <c:v>2640</c:v>
                </c:pt>
                <c:pt idx="22">
                  <c:v>2781</c:v>
                </c:pt>
                <c:pt idx="23">
                  <c:v>2914</c:v>
                </c:pt>
                <c:pt idx="24">
                  <c:v>3780</c:v>
                </c:pt>
                <c:pt idx="25">
                  <c:v>3907</c:v>
                </c:pt>
                <c:pt idx="26">
                  <c:v>3962</c:v>
                </c:pt>
                <c:pt idx="27">
                  <c:v>3989</c:v>
                </c:pt>
                <c:pt idx="28">
                  <c:v>5789</c:v>
                </c:pt>
                <c:pt idx="29">
                  <c:v>5866</c:v>
                </c:pt>
                <c:pt idx="30">
                  <c:v>6077</c:v>
                </c:pt>
                <c:pt idx="31">
                  <c:v>6206</c:v>
                </c:pt>
                <c:pt idx="32">
                  <c:v>6618</c:v>
                </c:pt>
                <c:pt idx="33">
                  <c:v>6674</c:v>
                </c:pt>
                <c:pt idx="34">
                  <c:v>7224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-0.1441209999993589</c:v>
                </c:pt>
                <c:pt idx="1">
                  <c:v>0</c:v>
                </c:pt>
                <c:pt idx="2">
                  <c:v>-4.4369999999616994E-2</c:v>
                </c:pt>
                <c:pt idx="3">
                  <c:v>-0.60187800000130665</c:v>
                </c:pt>
                <c:pt idx="5">
                  <c:v>-1.8400000044493936E-4</c:v>
                </c:pt>
                <c:pt idx="6">
                  <c:v>-0.11387800000375137</c:v>
                </c:pt>
                <c:pt idx="7">
                  <c:v>0.15990099999544327</c:v>
                </c:pt>
                <c:pt idx="9">
                  <c:v>9.3069999998988351E-2</c:v>
                </c:pt>
                <c:pt idx="10">
                  <c:v>9.7069999996165279E-2</c:v>
                </c:pt>
                <c:pt idx="12">
                  <c:v>0.29554999999891152</c:v>
                </c:pt>
                <c:pt idx="13">
                  <c:v>-9.2644000000291271E-2</c:v>
                </c:pt>
                <c:pt idx="14">
                  <c:v>0.72627799999827403</c:v>
                </c:pt>
                <c:pt idx="15">
                  <c:v>-0.12460600000122213</c:v>
                </c:pt>
                <c:pt idx="16">
                  <c:v>-0.12260600000081467</c:v>
                </c:pt>
                <c:pt idx="17">
                  <c:v>0.15302199999860022</c:v>
                </c:pt>
                <c:pt idx="18">
                  <c:v>0.14557399999830523</c:v>
                </c:pt>
                <c:pt idx="19">
                  <c:v>-3.8150000000314321E-2</c:v>
                </c:pt>
                <c:pt idx="20">
                  <c:v>0.12861199999679229</c:v>
                </c:pt>
                <c:pt idx="21">
                  <c:v>0.20311999999830732</c:v>
                </c:pt>
                <c:pt idx="22">
                  <c:v>-3.2202000002143905E-2</c:v>
                </c:pt>
                <c:pt idx="23">
                  <c:v>0.1260119999969902</c:v>
                </c:pt>
                <c:pt idx="24">
                  <c:v>4.9240000000281725E-2</c:v>
                </c:pt>
                <c:pt idx="25">
                  <c:v>-0.23089400000026217</c:v>
                </c:pt>
                <c:pt idx="26">
                  <c:v>0.13379599999461789</c:v>
                </c:pt>
                <c:pt idx="27">
                  <c:v>-0.11113800000021001</c:v>
                </c:pt>
                <c:pt idx="28">
                  <c:v>-0.33473800000501797</c:v>
                </c:pt>
                <c:pt idx="29">
                  <c:v>-0.26277200000185985</c:v>
                </c:pt>
                <c:pt idx="30">
                  <c:v>-0.30303399999684189</c:v>
                </c:pt>
                <c:pt idx="31">
                  <c:v>-0.34305199999653269</c:v>
                </c:pt>
                <c:pt idx="32">
                  <c:v>-0.34515599999576807</c:v>
                </c:pt>
                <c:pt idx="33">
                  <c:v>-0.33990800000174204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53-4130-B88E-7FE10EB959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-49.5</c:v>
                </c:pt>
                <c:pt idx="1">
                  <c:v>0</c:v>
                </c:pt>
                <c:pt idx="2">
                  <c:v>485</c:v>
                </c:pt>
                <c:pt idx="3">
                  <c:v>959</c:v>
                </c:pt>
                <c:pt idx="4">
                  <c:v>1152</c:v>
                </c:pt>
                <c:pt idx="5">
                  <c:v>1152</c:v>
                </c:pt>
                <c:pt idx="6">
                  <c:v>1959</c:v>
                </c:pt>
                <c:pt idx="7">
                  <c:v>1959.5</c:v>
                </c:pt>
                <c:pt idx="8">
                  <c:v>1970.5</c:v>
                </c:pt>
                <c:pt idx="9">
                  <c:v>2165</c:v>
                </c:pt>
                <c:pt idx="10">
                  <c:v>2165</c:v>
                </c:pt>
                <c:pt idx="11">
                  <c:v>2165</c:v>
                </c:pt>
                <c:pt idx="12">
                  <c:v>2225</c:v>
                </c:pt>
                <c:pt idx="13">
                  <c:v>2282</c:v>
                </c:pt>
                <c:pt idx="14">
                  <c:v>2341</c:v>
                </c:pt>
                <c:pt idx="15">
                  <c:v>2343</c:v>
                </c:pt>
                <c:pt idx="16">
                  <c:v>2343</c:v>
                </c:pt>
                <c:pt idx="17">
                  <c:v>2509</c:v>
                </c:pt>
                <c:pt idx="18">
                  <c:v>2553</c:v>
                </c:pt>
                <c:pt idx="19">
                  <c:v>2575</c:v>
                </c:pt>
                <c:pt idx="20">
                  <c:v>2614</c:v>
                </c:pt>
                <c:pt idx="21">
                  <c:v>2640</c:v>
                </c:pt>
                <c:pt idx="22">
                  <c:v>2781</c:v>
                </c:pt>
                <c:pt idx="23">
                  <c:v>2914</c:v>
                </c:pt>
                <c:pt idx="24">
                  <c:v>3780</c:v>
                </c:pt>
                <c:pt idx="25">
                  <c:v>3907</c:v>
                </c:pt>
                <c:pt idx="26">
                  <c:v>3962</c:v>
                </c:pt>
                <c:pt idx="27">
                  <c:v>3989</c:v>
                </c:pt>
                <c:pt idx="28">
                  <c:v>5789</c:v>
                </c:pt>
                <c:pt idx="29">
                  <c:v>5866</c:v>
                </c:pt>
                <c:pt idx="30">
                  <c:v>6077</c:v>
                </c:pt>
                <c:pt idx="31">
                  <c:v>6206</c:v>
                </c:pt>
                <c:pt idx="32">
                  <c:v>6618</c:v>
                </c:pt>
                <c:pt idx="33">
                  <c:v>6674</c:v>
                </c:pt>
                <c:pt idx="34">
                  <c:v>7224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53-4130-B88E-7FE10EB959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-49.5</c:v>
                </c:pt>
                <c:pt idx="1">
                  <c:v>0</c:v>
                </c:pt>
                <c:pt idx="2">
                  <c:v>485</c:v>
                </c:pt>
                <c:pt idx="3">
                  <c:v>959</c:v>
                </c:pt>
                <c:pt idx="4">
                  <c:v>1152</c:v>
                </c:pt>
                <c:pt idx="5">
                  <c:v>1152</c:v>
                </c:pt>
                <c:pt idx="6">
                  <c:v>1959</c:v>
                </c:pt>
                <c:pt idx="7">
                  <c:v>1959.5</c:v>
                </c:pt>
                <c:pt idx="8">
                  <c:v>1970.5</c:v>
                </c:pt>
                <c:pt idx="9">
                  <c:v>2165</c:v>
                </c:pt>
                <c:pt idx="10">
                  <c:v>2165</c:v>
                </c:pt>
                <c:pt idx="11">
                  <c:v>2165</c:v>
                </c:pt>
                <c:pt idx="12">
                  <c:v>2225</c:v>
                </c:pt>
                <c:pt idx="13">
                  <c:v>2282</c:v>
                </c:pt>
                <c:pt idx="14">
                  <c:v>2341</c:v>
                </c:pt>
                <c:pt idx="15">
                  <c:v>2343</c:v>
                </c:pt>
                <c:pt idx="16">
                  <c:v>2343</c:v>
                </c:pt>
                <c:pt idx="17">
                  <c:v>2509</c:v>
                </c:pt>
                <c:pt idx="18">
                  <c:v>2553</c:v>
                </c:pt>
                <c:pt idx="19">
                  <c:v>2575</c:v>
                </c:pt>
                <c:pt idx="20">
                  <c:v>2614</c:v>
                </c:pt>
                <c:pt idx="21">
                  <c:v>2640</c:v>
                </c:pt>
                <c:pt idx="22">
                  <c:v>2781</c:v>
                </c:pt>
                <c:pt idx="23">
                  <c:v>2914</c:v>
                </c:pt>
                <c:pt idx="24">
                  <c:v>3780</c:v>
                </c:pt>
                <c:pt idx="25">
                  <c:v>3907</c:v>
                </c:pt>
                <c:pt idx="26">
                  <c:v>3962</c:v>
                </c:pt>
                <c:pt idx="27">
                  <c:v>3989</c:v>
                </c:pt>
                <c:pt idx="28">
                  <c:v>5789</c:v>
                </c:pt>
                <c:pt idx="29">
                  <c:v>5866</c:v>
                </c:pt>
                <c:pt idx="30">
                  <c:v>6077</c:v>
                </c:pt>
                <c:pt idx="31">
                  <c:v>6206</c:v>
                </c:pt>
                <c:pt idx="32">
                  <c:v>6618</c:v>
                </c:pt>
                <c:pt idx="33">
                  <c:v>6674</c:v>
                </c:pt>
                <c:pt idx="34">
                  <c:v>7224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4">
                  <c:v>-0.47490800000377931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53-4130-B88E-7FE10EB959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-49.5</c:v>
                </c:pt>
                <c:pt idx="1">
                  <c:v>0</c:v>
                </c:pt>
                <c:pt idx="2">
                  <c:v>485</c:v>
                </c:pt>
                <c:pt idx="3">
                  <c:v>959</c:v>
                </c:pt>
                <c:pt idx="4">
                  <c:v>1152</c:v>
                </c:pt>
                <c:pt idx="5">
                  <c:v>1152</c:v>
                </c:pt>
                <c:pt idx="6">
                  <c:v>1959</c:v>
                </c:pt>
                <c:pt idx="7">
                  <c:v>1959.5</c:v>
                </c:pt>
                <c:pt idx="8">
                  <c:v>1970.5</c:v>
                </c:pt>
                <c:pt idx="9">
                  <c:v>2165</c:v>
                </c:pt>
                <c:pt idx="10">
                  <c:v>2165</c:v>
                </c:pt>
                <c:pt idx="11">
                  <c:v>2165</c:v>
                </c:pt>
                <c:pt idx="12">
                  <c:v>2225</c:v>
                </c:pt>
                <c:pt idx="13">
                  <c:v>2282</c:v>
                </c:pt>
                <c:pt idx="14">
                  <c:v>2341</c:v>
                </c:pt>
                <c:pt idx="15">
                  <c:v>2343</c:v>
                </c:pt>
                <c:pt idx="16">
                  <c:v>2343</c:v>
                </c:pt>
                <c:pt idx="17">
                  <c:v>2509</c:v>
                </c:pt>
                <c:pt idx="18">
                  <c:v>2553</c:v>
                </c:pt>
                <c:pt idx="19">
                  <c:v>2575</c:v>
                </c:pt>
                <c:pt idx="20">
                  <c:v>2614</c:v>
                </c:pt>
                <c:pt idx="21">
                  <c:v>2640</c:v>
                </c:pt>
                <c:pt idx="22">
                  <c:v>2781</c:v>
                </c:pt>
                <c:pt idx="23">
                  <c:v>2914</c:v>
                </c:pt>
                <c:pt idx="24">
                  <c:v>3780</c:v>
                </c:pt>
                <c:pt idx="25">
                  <c:v>3907</c:v>
                </c:pt>
                <c:pt idx="26">
                  <c:v>3962</c:v>
                </c:pt>
                <c:pt idx="27">
                  <c:v>3989</c:v>
                </c:pt>
                <c:pt idx="28">
                  <c:v>5789</c:v>
                </c:pt>
                <c:pt idx="29">
                  <c:v>5866</c:v>
                </c:pt>
                <c:pt idx="30">
                  <c:v>6077</c:v>
                </c:pt>
                <c:pt idx="31">
                  <c:v>6206</c:v>
                </c:pt>
                <c:pt idx="32">
                  <c:v>6618</c:v>
                </c:pt>
                <c:pt idx="33">
                  <c:v>6674</c:v>
                </c:pt>
                <c:pt idx="34">
                  <c:v>7224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53-4130-B88E-7FE10EB959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-49.5</c:v>
                </c:pt>
                <c:pt idx="1">
                  <c:v>0</c:v>
                </c:pt>
                <c:pt idx="2">
                  <c:v>485</c:v>
                </c:pt>
                <c:pt idx="3">
                  <c:v>959</c:v>
                </c:pt>
                <c:pt idx="4">
                  <c:v>1152</c:v>
                </c:pt>
                <c:pt idx="5">
                  <c:v>1152</c:v>
                </c:pt>
                <c:pt idx="6">
                  <c:v>1959</c:v>
                </c:pt>
                <c:pt idx="7">
                  <c:v>1959.5</c:v>
                </c:pt>
                <c:pt idx="8">
                  <c:v>1970.5</c:v>
                </c:pt>
                <c:pt idx="9">
                  <c:v>2165</c:v>
                </c:pt>
                <c:pt idx="10">
                  <c:v>2165</c:v>
                </c:pt>
                <c:pt idx="11">
                  <c:v>2165</c:v>
                </c:pt>
                <c:pt idx="12">
                  <c:v>2225</c:v>
                </c:pt>
                <c:pt idx="13">
                  <c:v>2282</c:v>
                </c:pt>
                <c:pt idx="14">
                  <c:v>2341</c:v>
                </c:pt>
                <c:pt idx="15">
                  <c:v>2343</c:v>
                </c:pt>
                <c:pt idx="16">
                  <c:v>2343</c:v>
                </c:pt>
                <c:pt idx="17">
                  <c:v>2509</c:v>
                </c:pt>
                <c:pt idx="18">
                  <c:v>2553</c:v>
                </c:pt>
                <c:pt idx="19">
                  <c:v>2575</c:v>
                </c:pt>
                <c:pt idx="20">
                  <c:v>2614</c:v>
                </c:pt>
                <c:pt idx="21">
                  <c:v>2640</c:v>
                </c:pt>
                <c:pt idx="22">
                  <c:v>2781</c:v>
                </c:pt>
                <c:pt idx="23">
                  <c:v>2914</c:v>
                </c:pt>
                <c:pt idx="24">
                  <c:v>3780</c:v>
                </c:pt>
                <c:pt idx="25">
                  <c:v>3907</c:v>
                </c:pt>
                <c:pt idx="26">
                  <c:v>3962</c:v>
                </c:pt>
                <c:pt idx="27">
                  <c:v>3989</c:v>
                </c:pt>
                <c:pt idx="28">
                  <c:v>5789</c:v>
                </c:pt>
                <c:pt idx="29">
                  <c:v>5866</c:v>
                </c:pt>
                <c:pt idx="30">
                  <c:v>6077</c:v>
                </c:pt>
                <c:pt idx="31">
                  <c:v>6206</c:v>
                </c:pt>
                <c:pt idx="32">
                  <c:v>6618</c:v>
                </c:pt>
                <c:pt idx="33">
                  <c:v>6674</c:v>
                </c:pt>
                <c:pt idx="34">
                  <c:v>7224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53-4130-B88E-7FE10EB959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1">
                    <c:v>1.2E-2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-49.5</c:v>
                </c:pt>
                <c:pt idx="1">
                  <c:v>0</c:v>
                </c:pt>
                <c:pt idx="2">
                  <c:v>485</c:v>
                </c:pt>
                <c:pt idx="3">
                  <c:v>959</c:v>
                </c:pt>
                <c:pt idx="4">
                  <c:v>1152</c:v>
                </c:pt>
                <c:pt idx="5">
                  <c:v>1152</c:v>
                </c:pt>
                <c:pt idx="6">
                  <c:v>1959</c:v>
                </c:pt>
                <c:pt idx="7">
                  <c:v>1959.5</c:v>
                </c:pt>
                <c:pt idx="8">
                  <c:v>1970.5</c:v>
                </c:pt>
                <c:pt idx="9">
                  <c:v>2165</c:v>
                </c:pt>
                <c:pt idx="10">
                  <c:v>2165</c:v>
                </c:pt>
                <c:pt idx="11">
                  <c:v>2165</c:v>
                </c:pt>
                <c:pt idx="12">
                  <c:v>2225</c:v>
                </c:pt>
                <c:pt idx="13">
                  <c:v>2282</c:v>
                </c:pt>
                <c:pt idx="14">
                  <c:v>2341</c:v>
                </c:pt>
                <c:pt idx="15">
                  <c:v>2343</c:v>
                </c:pt>
                <c:pt idx="16">
                  <c:v>2343</c:v>
                </c:pt>
                <c:pt idx="17">
                  <c:v>2509</c:v>
                </c:pt>
                <c:pt idx="18">
                  <c:v>2553</c:v>
                </c:pt>
                <c:pt idx="19">
                  <c:v>2575</c:v>
                </c:pt>
                <c:pt idx="20">
                  <c:v>2614</c:v>
                </c:pt>
                <c:pt idx="21">
                  <c:v>2640</c:v>
                </c:pt>
                <c:pt idx="22">
                  <c:v>2781</c:v>
                </c:pt>
                <c:pt idx="23">
                  <c:v>2914</c:v>
                </c:pt>
                <c:pt idx="24">
                  <c:v>3780</c:v>
                </c:pt>
                <c:pt idx="25">
                  <c:v>3907</c:v>
                </c:pt>
                <c:pt idx="26">
                  <c:v>3962</c:v>
                </c:pt>
                <c:pt idx="27">
                  <c:v>3989</c:v>
                </c:pt>
                <c:pt idx="28">
                  <c:v>5789</c:v>
                </c:pt>
                <c:pt idx="29">
                  <c:v>5866</c:v>
                </c:pt>
                <c:pt idx="30">
                  <c:v>6077</c:v>
                </c:pt>
                <c:pt idx="31">
                  <c:v>6206</c:v>
                </c:pt>
                <c:pt idx="32">
                  <c:v>6618</c:v>
                </c:pt>
                <c:pt idx="33">
                  <c:v>6674</c:v>
                </c:pt>
                <c:pt idx="34">
                  <c:v>7224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53-4130-B88E-7FE10EB959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-49.5</c:v>
                </c:pt>
                <c:pt idx="1">
                  <c:v>0</c:v>
                </c:pt>
                <c:pt idx="2">
                  <c:v>485</c:v>
                </c:pt>
                <c:pt idx="3">
                  <c:v>959</c:v>
                </c:pt>
                <c:pt idx="4">
                  <c:v>1152</c:v>
                </c:pt>
                <c:pt idx="5">
                  <c:v>1152</c:v>
                </c:pt>
                <c:pt idx="6">
                  <c:v>1959</c:v>
                </c:pt>
                <c:pt idx="7">
                  <c:v>1959.5</c:v>
                </c:pt>
                <c:pt idx="8">
                  <c:v>1970.5</c:v>
                </c:pt>
                <c:pt idx="9">
                  <c:v>2165</c:v>
                </c:pt>
                <c:pt idx="10">
                  <c:v>2165</c:v>
                </c:pt>
                <c:pt idx="11">
                  <c:v>2165</c:v>
                </c:pt>
                <c:pt idx="12">
                  <c:v>2225</c:v>
                </c:pt>
                <c:pt idx="13">
                  <c:v>2282</c:v>
                </c:pt>
                <c:pt idx="14">
                  <c:v>2341</c:v>
                </c:pt>
                <c:pt idx="15">
                  <c:v>2343</c:v>
                </c:pt>
                <c:pt idx="16">
                  <c:v>2343</c:v>
                </c:pt>
                <c:pt idx="17">
                  <c:v>2509</c:v>
                </c:pt>
                <c:pt idx="18">
                  <c:v>2553</c:v>
                </c:pt>
                <c:pt idx="19">
                  <c:v>2575</c:v>
                </c:pt>
                <c:pt idx="20">
                  <c:v>2614</c:v>
                </c:pt>
                <c:pt idx="21">
                  <c:v>2640</c:v>
                </c:pt>
                <c:pt idx="22">
                  <c:v>2781</c:v>
                </c:pt>
                <c:pt idx="23">
                  <c:v>2914</c:v>
                </c:pt>
                <c:pt idx="24">
                  <c:v>3780</c:v>
                </c:pt>
                <c:pt idx="25">
                  <c:v>3907</c:v>
                </c:pt>
                <c:pt idx="26">
                  <c:v>3962</c:v>
                </c:pt>
                <c:pt idx="27">
                  <c:v>3989</c:v>
                </c:pt>
                <c:pt idx="28">
                  <c:v>5789</c:v>
                </c:pt>
                <c:pt idx="29">
                  <c:v>5866</c:v>
                </c:pt>
                <c:pt idx="30">
                  <c:v>6077</c:v>
                </c:pt>
                <c:pt idx="31">
                  <c:v>6206</c:v>
                </c:pt>
                <c:pt idx="32">
                  <c:v>6618</c:v>
                </c:pt>
                <c:pt idx="33">
                  <c:v>6674</c:v>
                </c:pt>
                <c:pt idx="34">
                  <c:v>7224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0.39637591761609065</c:v>
                </c:pt>
                <c:pt idx="1">
                  <c:v>0.3907542274288397</c:v>
                </c:pt>
                <c:pt idx="2">
                  <c:v>0.33567302054365356</c:v>
                </c:pt>
                <c:pt idx="3">
                  <c:v>0.28184107814452319</c:v>
                </c:pt>
                <c:pt idx="4">
                  <c:v>0.25992216488918113</c:v>
                </c:pt>
                <c:pt idx="5">
                  <c:v>0.25992216488918113</c:v>
                </c:pt>
                <c:pt idx="6">
                  <c:v>0.16827157941218071</c:v>
                </c:pt>
                <c:pt idx="7">
                  <c:v>0.16821479466281453</c:v>
                </c:pt>
                <c:pt idx="8">
                  <c:v>0.16696553017675878</c:v>
                </c:pt>
                <c:pt idx="9">
                  <c:v>0.14487626267331816</c:v>
                </c:pt>
                <c:pt idx="10">
                  <c:v>0.14487626267331816</c:v>
                </c:pt>
                <c:pt idx="11">
                  <c:v>0.14487626267331816</c:v>
                </c:pt>
                <c:pt idx="12">
                  <c:v>0.13806209274937759</c:v>
                </c:pt>
                <c:pt idx="13">
                  <c:v>0.13158863132163406</c:v>
                </c:pt>
                <c:pt idx="14">
                  <c:v>0.12488803089642586</c:v>
                </c:pt>
                <c:pt idx="15">
                  <c:v>0.12466089189896118</c:v>
                </c:pt>
                <c:pt idx="16">
                  <c:v>0.12466089189896118</c:v>
                </c:pt>
                <c:pt idx="17">
                  <c:v>0.10580835510939235</c:v>
                </c:pt>
                <c:pt idx="18">
                  <c:v>0.10081129716516923</c:v>
                </c:pt>
                <c:pt idx="19">
                  <c:v>9.8312768193057731E-2</c:v>
                </c:pt>
                <c:pt idx="20">
                  <c:v>9.3883557742496349E-2</c:v>
                </c:pt>
                <c:pt idx="21">
                  <c:v>9.0930750775455427E-2</c:v>
                </c:pt>
                <c:pt idx="22">
                  <c:v>7.491745145419515E-2</c:v>
                </c:pt>
                <c:pt idx="23">
                  <c:v>5.9812708122793601E-2</c:v>
                </c:pt>
                <c:pt idx="24">
                  <c:v>-3.8538477779414992E-2</c:v>
                </c:pt>
                <c:pt idx="25">
                  <c:v>-5.2961804118422495E-2</c:v>
                </c:pt>
                <c:pt idx="26">
                  <c:v>-5.9208126548701334E-2</c:v>
                </c:pt>
                <c:pt idx="27">
                  <c:v>-6.2274503014474625E-2</c:v>
                </c:pt>
                <c:pt idx="28">
                  <c:v>-0.26669960073269117</c:v>
                </c:pt>
                <c:pt idx="29">
                  <c:v>-0.27544445213508151</c:v>
                </c:pt>
                <c:pt idx="30">
                  <c:v>-0.29940761636760582</c:v>
                </c:pt>
                <c:pt idx="31">
                  <c:v>-0.31405808170407801</c:v>
                </c:pt>
                <c:pt idx="32">
                  <c:v>-0.36084871518180306</c:v>
                </c:pt>
                <c:pt idx="33">
                  <c:v>-0.36720860711081427</c:v>
                </c:pt>
                <c:pt idx="34">
                  <c:v>-0.42967183141360266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53-4130-B88E-7FE10EB95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706136"/>
        <c:axId val="1"/>
      </c:scatterChart>
      <c:valAx>
        <c:axId val="571706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706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23162187371207"/>
          <c:y val="0.92000129214617399"/>
          <c:w val="0.8388438428667490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19</xdr:col>
      <xdr:colOff>123825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4D5D2BA-AE95-396A-97E4-752B40A66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24</v>
      </c>
      <c r="B2" s="10" t="s">
        <v>31</v>
      </c>
    </row>
    <row r="4" spans="1:6" ht="14.25" thickTop="1" thickBot="1" x14ac:dyDescent="0.25">
      <c r="A4" s="7" t="s">
        <v>0</v>
      </c>
      <c r="C4" s="3">
        <v>15017.35</v>
      </c>
      <c r="D4" s="4">
        <v>5.4124420000000004</v>
      </c>
    </row>
    <row r="5" spans="1:6" ht="13.5" thickTop="1" x14ac:dyDescent="0.2">
      <c r="A5" s="12" t="s">
        <v>33</v>
      </c>
      <c r="B5" s="13"/>
      <c r="C5" s="14">
        <v>-9.5</v>
      </c>
      <c r="D5" s="13" t="s">
        <v>34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15017.35</v>
      </c>
    </row>
    <row r="8" spans="1:6" x14ac:dyDescent="0.2">
      <c r="A8" t="s">
        <v>3</v>
      </c>
      <c r="C8">
        <f>+D4</f>
        <v>5.4124420000000004</v>
      </c>
    </row>
    <row r="9" spans="1:6" x14ac:dyDescent="0.2">
      <c r="A9" s="44" t="s">
        <v>194</v>
      </c>
      <c r="B9" s="45">
        <v>30</v>
      </c>
      <c r="C9" s="46" t="str">
        <f>"F"&amp;B9</f>
        <v>F30</v>
      </c>
      <c r="D9" s="47" t="str">
        <f>"G"&amp;B9</f>
        <v>G30</v>
      </c>
      <c r="E9" s="13"/>
    </row>
    <row r="10" spans="1:6" ht="13.5" thickBot="1" x14ac:dyDescent="0.25">
      <c r="A10" s="13"/>
      <c r="B10" s="13"/>
      <c r="C10" s="6" t="s">
        <v>20</v>
      </c>
      <c r="D10" s="6" t="s">
        <v>21</v>
      </c>
      <c r="E10" s="13"/>
    </row>
    <row r="11" spans="1:6" x14ac:dyDescent="0.2">
      <c r="A11" s="13" t="s">
        <v>16</v>
      </c>
      <c r="B11" s="13"/>
      <c r="C11" s="49">
        <f ca="1">INTERCEPT(INDIRECT($D$9):G975,INDIRECT($C$9):F975)</f>
        <v>0.3907542274288397</v>
      </c>
      <c r="D11" s="5"/>
      <c r="E11" s="13"/>
    </row>
    <row r="12" spans="1:6" x14ac:dyDescent="0.2">
      <c r="A12" s="13" t="s">
        <v>17</v>
      </c>
      <c r="B12" s="13"/>
      <c r="C12" s="49">
        <f ca="1">SLOPE(INDIRECT($D$9):G975,INDIRECT($C$9):F975)</f>
        <v>-1.1356949873234252E-4</v>
      </c>
      <c r="D12" s="5"/>
      <c r="E12" s="13"/>
    </row>
    <row r="13" spans="1:6" x14ac:dyDescent="0.2">
      <c r="A13" s="13" t="s">
        <v>19</v>
      </c>
      <c r="B13" s="13"/>
      <c r="C13" s="5" t="s">
        <v>14</v>
      </c>
      <c r="D13" s="5"/>
      <c r="E13" s="13"/>
    </row>
    <row r="14" spans="1:6" x14ac:dyDescent="0.2">
      <c r="A14" s="13"/>
      <c r="B14" s="13"/>
      <c r="C14" s="13"/>
      <c r="D14" s="13"/>
      <c r="E14" s="13"/>
    </row>
    <row r="15" spans="1:6" x14ac:dyDescent="0.2">
      <c r="A15" s="15" t="s">
        <v>18</v>
      </c>
      <c r="B15" s="13"/>
      <c r="C15" s="16">
        <f ca="1">(C7+C11)+(C8+C12)*INT(MAX(F21:F3533))</f>
        <v>54116.401336168594</v>
      </c>
      <c r="E15" s="17" t="s">
        <v>195</v>
      </c>
      <c r="F15" s="48">
        <v>1</v>
      </c>
    </row>
    <row r="16" spans="1:6" x14ac:dyDescent="0.2">
      <c r="A16" s="19" t="s">
        <v>4</v>
      </c>
      <c r="B16" s="13"/>
      <c r="C16" s="20">
        <f ca="1">+C8+C12</f>
        <v>5.412328430501268</v>
      </c>
      <c r="E16" s="17" t="s">
        <v>35</v>
      </c>
      <c r="F16" s="18">
        <f ca="1">NOW()+15018.5+$C$5/24</f>
        <v>60324.706045254628</v>
      </c>
    </row>
    <row r="17" spans="1:17" ht="13.5" thickBot="1" x14ac:dyDescent="0.25">
      <c r="A17" s="17" t="s">
        <v>37</v>
      </c>
      <c r="B17" s="13"/>
      <c r="C17" s="13">
        <f>COUNT(C21:C2191)</f>
        <v>35</v>
      </c>
      <c r="E17" s="17" t="s">
        <v>196</v>
      </c>
      <c r="F17" s="18">
        <f ca="1">ROUND(2*(F16-$C$7)/$C$8,0)/2+F15</f>
        <v>8372</v>
      </c>
    </row>
    <row r="18" spans="1:17" ht="14.25" thickTop="1" thickBot="1" x14ac:dyDescent="0.25">
      <c r="A18" s="19" t="s">
        <v>5</v>
      </c>
      <c r="B18" s="13"/>
      <c r="C18" s="22">
        <f ca="1">+C15</f>
        <v>54116.401336168594</v>
      </c>
      <c r="D18" s="23">
        <f ca="1">+C16</f>
        <v>5.412328430501268</v>
      </c>
      <c r="E18" s="17" t="s">
        <v>36</v>
      </c>
      <c r="F18" s="27">
        <f ca="1">ROUND(2*(F16-$C$15)/$C$16,0)/2+F15</f>
        <v>1148</v>
      </c>
    </row>
    <row r="19" spans="1:17" ht="13.5" thickTop="1" x14ac:dyDescent="0.2">
      <c r="E19" s="17" t="s">
        <v>38</v>
      </c>
      <c r="F19" s="21">
        <f ca="1">+$C$15+$C$16*F18-15018.5-$C$5/24</f>
        <v>45311.650207717386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47</v>
      </c>
      <c r="I20" s="9" t="s">
        <v>50</v>
      </c>
      <c r="J20" s="9" t="s">
        <v>44</v>
      </c>
      <c r="K20" s="9" t="s">
        <v>42</v>
      </c>
      <c r="L20" s="9" t="s">
        <v>189</v>
      </c>
      <c r="M20" s="9" t="s">
        <v>190</v>
      </c>
      <c r="N20" s="9" t="s">
        <v>191</v>
      </c>
      <c r="O20" s="9" t="s">
        <v>23</v>
      </c>
      <c r="P20" s="8" t="s">
        <v>22</v>
      </c>
      <c r="Q20" s="6" t="s">
        <v>15</v>
      </c>
    </row>
    <row r="21" spans="1:17" x14ac:dyDescent="0.2">
      <c r="A21" s="41" t="s">
        <v>57</v>
      </c>
      <c r="B21" s="42" t="s">
        <v>187</v>
      </c>
      <c r="C21" s="41">
        <v>14749.29</v>
      </c>
      <c r="D21" s="41" t="s">
        <v>50</v>
      </c>
      <c r="E21">
        <f t="shared" ref="E21:E55" si="0">+(C21-C$7)/C$8</f>
        <v>-49.526627721830458</v>
      </c>
      <c r="F21">
        <f t="shared" ref="F21:F55" si="1">ROUND(2*E21,0)/2</f>
        <v>-49.5</v>
      </c>
      <c r="G21">
        <f>+C21-(C$7+F21*C$8)</f>
        <v>-0.1441209999993589</v>
      </c>
      <c r="I21">
        <f>G21</f>
        <v>-0.1441209999993589</v>
      </c>
      <c r="O21">
        <f t="shared" ref="O21:O55" ca="1" si="2">+C$11+C$12*F21</f>
        <v>0.39637591761609065</v>
      </c>
      <c r="Q21" s="43" t="s">
        <v>193</v>
      </c>
    </row>
    <row r="22" spans="1:17" x14ac:dyDescent="0.2">
      <c r="A22" t="s">
        <v>12</v>
      </c>
      <c r="C22" s="11">
        <v>15017.35</v>
      </c>
      <c r="D22" s="11" t="s">
        <v>14</v>
      </c>
      <c r="E22">
        <f t="shared" si="0"/>
        <v>0</v>
      </c>
      <c r="F22">
        <f t="shared" si="1"/>
        <v>0</v>
      </c>
      <c r="I22" s="27">
        <v>0</v>
      </c>
      <c r="O22">
        <f t="shared" ca="1" si="2"/>
        <v>0.3907542274288397</v>
      </c>
      <c r="Q22" s="43" t="s">
        <v>192</v>
      </c>
    </row>
    <row r="23" spans="1:17" x14ac:dyDescent="0.2">
      <c r="A23" s="41" t="s">
        <v>57</v>
      </c>
      <c r="B23" s="42" t="s">
        <v>188</v>
      </c>
      <c r="C23" s="41">
        <v>17642.34</v>
      </c>
      <c r="D23" s="41" t="s">
        <v>50</v>
      </c>
      <c r="E23">
        <f t="shared" si="0"/>
        <v>484.99180222162187</v>
      </c>
      <c r="F23">
        <f t="shared" si="1"/>
        <v>485</v>
      </c>
      <c r="G23">
        <f t="shared" ref="G23:G48" si="3">+C23-(C$7+F23*C$8)</f>
        <v>-4.4369999999616994E-2</v>
      </c>
      <c r="I23">
        <f>G23</f>
        <v>-4.4369999999616994E-2</v>
      </c>
      <c r="O23">
        <f t="shared" ca="1" si="2"/>
        <v>0.33567302054365356</v>
      </c>
      <c r="Q23" s="2">
        <f t="shared" ref="Q23:Q55" si="4">+C23-15018.5</f>
        <v>2623.84</v>
      </c>
    </row>
    <row r="24" spans="1:17" x14ac:dyDescent="0.2">
      <c r="A24" s="41" t="s">
        <v>57</v>
      </c>
      <c r="B24" s="42" t="s">
        <v>188</v>
      </c>
      <c r="C24" s="41">
        <v>20207.28</v>
      </c>
      <c r="D24" s="41" t="s">
        <v>50</v>
      </c>
      <c r="E24">
        <f t="shared" si="0"/>
        <v>958.88879733029898</v>
      </c>
      <c r="F24">
        <f t="shared" si="1"/>
        <v>959</v>
      </c>
      <c r="G24">
        <f t="shared" si="3"/>
        <v>-0.60187800000130665</v>
      </c>
      <c r="I24">
        <f>G24</f>
        <v>-0.60187800000130665</v>
      </c>
      <c r="O24">
        <f t="shared" ca="1" si="2"/>
        <v>0.28184107814452319</v>
      </c>
      <c r="Q24" s="2">
        <f t="shared" si="4"/>
        <v>5188.7799999999988</v>
      </c>
    </row>
    <row r="25" spans="1:17" x14ac:dyDescent="0.2">
      <c r="A25" s="41" t="s">
        <v>71</v>
      </c>
      <c r="B25" s="42" t="s">
        <v>188</v>
      </c>
      <c r="C25" s="41">
        <v>21252.45</v>
      </c>
      <c r="D25" s="41" t="s">
        <v>50</v>
      </c>
      <c r="E25">
        <f t="shared" si="0"/>
        <v>1151.9938689412284</v>
      </c>
      <c r="F25">
        <f t="shared" si="1"/>
        <v>1152</v>
      </c>
      <c r="G25">
        <f t="shared" si="3"/>
        <v>-3.3183999999891967E-2</v>
      </c>
      <c r="H25">
        <f>G25</f>
        <v>-3.3183999999891967E-2</v>
      </c>
      <c r="O25">
        <f t="shared" ca="1" si="2"/>
        <v>0.25992216488918113</v>
      </c>
      <c r="Q25" s="2">
        <f t="shared" si="4"/>
        <v>6233.9500000000007</v>
      </c>
    </row>
    <row r="26" spans="1:17" x14ac:dyDescent="0.2">
      <c r="A26" s="41" t="s">
        <v>76</v>
      </c>
      <c r="B26" s="42" t="s">
        <v>188</v>
      </c>
      <c r="C26" s="41">
        <v>21252.483</v>
      </c>
      <c r="D26" s="41" t="s">
        <v>50</v>
      </c>
      <c r="E26">
        <f t="shared" si="0"/>
        <v>1151.9999660042545</v>
      </c>
      <c r="F26">
        <f t="shared" si="1"/>
        <v>1152</v>
      </c>
      <c r="G26">
        <f t="shared" si="3"/>
        <v>-1.8400000044493936E-4</v>
      </c>
      <c r="I26">
        <f>G26</f>
        <v>-1.8400000044493936E-4</v>
      </c>
      <c r="O26">
        <f t="shared" ca="1" si="2"/>
        <v>0.25992216488918113</v>
      </c>
      <c r="Q26" s="2">
        <f t="shared" si="4"/>
        <v>6233.9830000000002</v>
      </c>
    </row>
    <row r="27" spans="1:17" x14ac:dyDescent="0.2">
      <c r="A27" s="41" t="s">
        <v>82</v>
      </c>
      <c r="B27" s="42" t="s">
        <v>188</v>
      </c>
      <c r="C27" s="41">
        <v>25620.21</v>
      </c>
      <c r="D27" s="41" t="s">
        <v>50</v>
      </c>
      <c r="E27">
        <f t="shared" si="0"/>
        <v>1958.9789599592934</v>
      </c>
      <c r="F27">
        <f t="shared" si="1"/>
        <v>1959</v>
      </c>
      <c r="G27">
        <f t="shared" si="3"/>
        <v>-0.11387800000375137</v>
      </c>
      <c r="I27">
        <f>G27</f>
        <v>-0.11387800000375137</v>
      </c>
      <c r="O27">
        <f t="shared" ca="1" si="2"/>
        <v>0.16827157941218071</v>
      </c>
      <c r="Q27" s="2">
        <f t="shared" si="4"/>
        <v>10601.71</v>
      </c>
    </row>
    <row r="28" spans="1:17" x14ac:dyDescent="0.2">
      <c r="A28" s="41" t="s">
        <v>57</v>
      </c>
      <c r="B28" s="42" t="s">
        <v>187</v>
      </c>
      <c r="C28" s="41">
        <v>25623.19</v>
      </c>
      <c r="D28" s="41" t="s">
        <v>50</v>
      </c>
      <c r="E28">
        <f t="shared" si="0"/>
        <v>1959.5295432265136</v>
      </c>
      <c r="F28">
        <f t="shared" si="1"/>
        <v>1959.5</v>
      </c>
      <c r="G28">
        <f t="shared" si="3"/>
        <v>0.15990099999544327</v>
      </c>
      <c r="I28">
        <f>G28</f>
        <v>0.15990099999544327</v>
      </c>
      <c r="O28">
        <f t="shared" ca="1" si="2"/>
        <v>0.16821479466281453</v>
      </c>
      <c r="Q28" s="2">
        <f t="shared" si="4"/>
        <v>10604.689999999999</v>
      </c>
    </row>
    <row r="29" spans="1:17" x14ac:dyDescent="0.2">
      <c r="A29" s="41" t="s">
        <v>90</v>
      </c>
      <c r="B29" s="42" t="s">
        <v>187</v>
      </c>
      <c r="C29" s="41">
        <v>25682.47</v>
      </c>
      <c r="D29" s="41" t="s">
        <v>50</v>
      </c>
      <c r="E29">
        <f t="shared" si="0"/>
        <v>1970.4820855355124</v>
      </c>
      <c r="F29">
        <f t="shared" si="1"/>
        <v>1970.5</v>
      </c>
      <c r="G29">
        <f t="shared" si="3"/>
        <v>-9.6960999999282649E-2</v>
      </c>
      <c r="H29">
        <f>G29</f>
        <v>-9.6960999999282649E-2</v>
      </c>
      <c r="O29">
        <f t="shared" ca="1" si="2"/>
        <v>0.16696553017675878</v>
      </c>
      <c r="Q29" s="2">
        <f t="shared" si="4"/>
        <v>10663.970000000001</v>
      </c>
    </row>
    <row r="30" spans="1:17" x14ac:dyDescent="0.2">
      <c r="A30" s="41" t="s">
        <v>95</v>
      </c>
      <c r="B30" s="42" t="s">
        <v>188</v>
      </c>
      <c r="C30" s="41">
        <v>26735.38</v>
      </c>
      <c r="D30" s="41" t="s">
        <v>50</v>
      </c>
      <c r="E30">
        <f t="shared" si="0"/>
        <v>2165.0171955653291</v>
      </c>
      <c r="F30">
        <f t="shared" si="1"/>
        <v>2165</v>
      </c>
      <c r="G30">
        <f t="shared" si="3"/>
        <v>9.3069999998988351E-2</v>
      </c>
      <c r="I30">
        <f>G30</f>
        <v>9.3069999998988351E-2</v>
      </c>
      <c r="O30">
        <f t="shared" ca="1" si="2"/>
        <v>0.14487626267331816</v>
      </c>
      <c r="Q30" s="2">
        <f t="shared" si="4"/>
        <v>11716.880000000001</v>
      </c>
    </row>
    <row r="31" spans="1:17" x14ac:dyDescent="0.2">
      <c r="A31" s="41" t="s">
        <v>76</v>
      </c>
      <c r="B31" s="42" t="s">
        <v>188</v>
      </c>
      <c r="C31" s="41">
        <v>26735.383999999998</v>
      </c>
      <c r="D31" s="41" t="s">
        <v>50</v>
      </c>
      <c r="E31">
        <f t="shared" si="0"/>
        <v>2165.017934603271</v>
      </c>
      <c r="F31">
        <f t="shared" si="1"/>
        <v>2165</v>
      </c>
      <c r="G31">
        <f t="shared" si="3"/>
        <v>9.7069999996165279E-2</v>
      </c>
      <c r="I31">
        <f>G31</f>
        <v>9.7069999996165279E-2</v>
      </c>
      <c r="O31">
        <f t="shared" ca="1" si="2"/>
        <v>0.14487626267331816</v>
      </c>
      <c r="Q31" s="2">
        <f t="shared" si="4"/>
        <v>11716.883999999998</v>
      </c>
    </row>
    <row r="32" spans="1:17" x14ac:dyDescent="0.2">
      <c r="A32" s="41" t="s">
        <v>90</v>
      </c>
      <c r="B32" s="42" t="s">
        <v>188</v>
      </c>
      <c r="C32" s="41">
        <v>26735.4</v>
      </c>
      <c r="D32" s="41" t="s">
        <v>50</v>
      </c>
      <c r="E32">
        <f t="shared" si="0"/>
        <v>2165.0208907550418</v>
      </c>
      <c r="F32">
        <f t="shared" si="1"/>
        <v>2165</v>
      </c>
      <c r="G32">
        <f t="shared" si="3"/>
        <v>0.11306999999942491</v>
      </c>
      <c r="H32">
        <f>G32</f>
        <v>0.11306999999942491</v>
      </c>
      <c r="O32">
        <f t="shared" ca="1" si="2"/>
        <v>0.14487626267331816</v>
      </c>
      <c r="Q32" s="2">
        <f t="shared" si="4"/>
        <v>11716.900000000001</v>
      </c>
    </row>
    <row r="33" spans="1:17" x14ac:dyDescent="0.2">
      <c r="A33" s="41" t="s">
        <v>106</v>
      </c>
      <c r="B33" s="42" t="s">
        <v>188</v>
      </c>
      <c r="C33" s="41">
        <v>27060.329000000002</v>
      </c>
      <c r="D33" s="41" t="s">
        <v>50</v>
      </c>
      <c r="E33">
        <f t="shared" si="0"/>
        <v>2225.0546056659823</v>
      </c>
      <c r="F33">
        <f t="shared" si="1"/>
        <v>2225</v>
      </c>
      <c r="G33">
        <f t="shared" si="3"/>
        <v>0.29554999999891152</v>
      </c>
      <c r="I33">
        <f t="shared" ref="I33:I48" si="5">G33</f>
        <v>0.29554999999891152</v>
      </c>
      <c r="O33">
        <f t="shared" ca="1" si="2"/>
        <v>0.13806209274937759</v>
      </c>
      <c r="Q33" s="2">
        <f t="shared" si="4"/>
        <v>12041.829000000002</v>
      </c>
    </row>
    <row r="34" spans="1:17" x14ac:dyDescent="0.2">
      <c r="A34" s="41" t="s">
        <v>76</v>
      </c>
      <c r="B34" s="42" t="s">
        <v>188</v>
      </c>
      <c r="C34" s="41">
        <v>27368.45</v>
      </c>
      <c r="D34" s="41" t="s">
        <v>50</v>
      </c>
      <c r="E34">
        <f t="shared" si="0"/>
        <v>2281.9828831422119</v>
      </c>
      <c r="F34">
        <f t="shared" si="1"/>
        <v>2282</v>
      </c>
      <c r="G34">
        <f t="shared" si="3"/>
        <v>-9.2644000000291271E-2</v>
      </c>
      <c r="I34">
        <f t="shared" si="5"/>
        <v>-9.2644000000291271E-2</v>
      </c>
      <c r="O34">
        <f t="shared" ca="1" si="2"/>
        <v>0.13158863132163406</v>
      </c>
      <c r="Q34" s="2">
        <f t="shared" si="4"/>
        <v>12349.95</v>
      </c>
    </row>
    <row r="35" spans="1:17" x14ac:dyDescent="0.2">
      <c r="A35" s="41" t="s">
        <v>106</v>
      </c>
      <c r="B35" s="42" t="s">
        <v>188</v>
      </c>
      <c r="C35" s="41">
        <v>27688.602999999999</v>
      </c>
      <c r="D35" s="41" t="s">
        <v>50</v>
      </c>
      <c r="E35">
        <f t="shared" si="0"/>
        <v>2341.1341867497144</v>
      </c>
      <c r="F35">
        <f t="shared" si="1"/>
        <v>2341</v>
      </c>
      <c r="G35">
        <f t="shared" si="3"/>
        <v>0.72627799999827403</v>
      </c>
      <c r="I35">
        <f t="shared" si="5"/>
        <v>0.72627799999827403</v>
      </c>
      <c r="O35">
        <f t="shared" ca="1" si="2"/>
        <v>0.12488803089642586</v>
      </c>
      <c r="Q35" s="2">
        <f t="shared" si="4"/>
        <v>12670.102999999999</v>
      </c>
    </row>
    <row r="36" spans="1:17" x14ac:dyDescent="0.2">
      <c r="A36" s="41" t="s">
        <v>76</v>
      </c>
      <c r="B36" s="42" t="s">
        <v>188</v>
      </c>
      <c r="C36" s="41">
        <v>27698.577000000001</v>
      </c>
      <c r="D36" s="41" t="s">
        <v>50</v>
      </c>
      <c r="E36">
        <f t="shared" si="0"/>
        <v>2342.9769778595319</v>
      </c>
      <c r="F36">
        <f t="shared" si="1"/>
        <v>2343</v>
      </c>
      <c r="G36">
        <f t="shared" si="3"/>
        <v>-0.12460600000122213</v>
      </c>
      <c r="I36">
        <f t="shared" si="5"/>
        <v>-0.12460600000122213</v>
      </c>
      <c r="O36">
        <f t="shared" ca="1" si="2"/>
        <v>0.12466089189896118</v>
      </c>
      <c r="Q36" s="2">
        <f t="shared" si="4"/>
        <v>12680.077000000001</v>
      </c>
    </row>
    <row r="37" spans="1:17" x14ac:dyDescent="0.2">
      <c r="A37" s="41" t="s">
        <v>106</v>
      </c>
      <c r="B37" s="42" t="s">
        <v>188</v>
      </c>
      <c r="C37" s="41">
        <v>27698.579000000002</v>
      </c>
      <c r="D37" s="41" t="s">
        <v>50</v>
      </c>
      <c r="E37">
        <f t="shared" si="0"/>
        <v>2342.9773473785031</v>
      </c>
      <c r="F37">
        <f t="shared" si="1"/>
        <v>2343</v>
      </c>
      <c r="G37">
        <f t="shared" si="3"/>
        <v>-0.12260600000081467</v>
      </c>
      <c r="I37">
        <f t="shared" si="5"/>
        <v>-0.12260600000081467</v>
      </c>
      <c r="O37">
        <f t="shared" ca="1" si="2"/>
        <v>0.12466089189896118</v>
      </c>
      <c r="Q37" s="2">
        <f t="shared" si="4"/>
        <v>12680.079000000002</v>
      </c>
    </row>
    <row r="38" spans="1:17" x14ac:dyDescent="0.2">
      <c r="A38" s="41" t="s">
        <v>123</v>
      </c>
      <c r="B38" s="42" t="s">
        <v>188</v>
      </c>
      <c r="C38" s="41">
        <v>28597.32</v>
      </c>
      <c r="D38" s="41" t="s">
        <v>50</v>
      </c>
      <c r="E38">
        <f t="shared" si="0"/>
        <v>2509.0282722660118</v>
      </c>
      <c r="F38">
        <f t="shared" si="1"/>
        <v>2509</v>
      </c>
      <c r="G38">
        <f t="shared" si="3"/>
        <v>0.15302199999860022</v>
      </c>
      <c r="I38">
        <f t="shared" si="5"/>
        <v>0.15302199999860022</v>
      </c>
      <c r="O38">
        <f t="shared" ca="1" si="2"/>
        <v>0.10580835510939235</v>
      </c>
      <c r="Q38" s="2">
        <f t="shared" si="4"/>
        <v>13578.82</v>
      </c>
    </row>
    <row r="39" spans="1:17" x14ac:dyDescent="0.2">
      <c r="A39" s="41" t="s">
        <v>95</v>
      </c>
      <c r="B39" s="42" t="s">
        <v>188</v>
      </c>
      <c r="C39" s="41">
        <v>28835.46</v>
      </c>
      <c r="D39" s="41" t="s">
        <v>50</v>
      </c>
      <c r="E39">
        <f t="shared" si="0"/>
        <v>2553.0268961773627</v>
      </c>
      <c r="F39">
        <f t="shared" si="1"/>
        <v>2553</v>
      </c>
      <c r="G39">
        <f t="shared" si="3"/>
        <v>0.14557399999830523</v>
      </c>
      <c r="I39">
        <f t="shared" si="5"/>
        <v>0.14557399999830523</v>
      </c>
      <c r="O39">
        <f t="shared" ca="1" si="2"/>
        <v>0.10081129716516923</v>
      </c>
      <c r="Q39" s="2">
        <f t="shared" si="4"/>
        <v>13816.96</v>
      </c>
    </row>
    <row r="40" spans="1:17" x14ac:dyDescent="0.2">
      <c r="A40" s="41" t="s">
        <v>95</v>
      </c>
      <c r="B40" s="42" t="s">
        <v>188</v>
      </c>
      <c r="C40" s="41">
        <v>28954.35</v>
      </c>
      <c r="D40" s="41" t="s">
        <v>50</v>
      </c>
      <c r="E40">
        <f t="shared" si="0"/>
        <v>2574.9929514256223</v>
      </c>
      <c r="F40">
        <f t="shared" si="1"/>
        <v>2575</v>
      </c>
      <c r="G40">
        <f t="shared" si="3"/>
        <v>-3.8150000000314321E-2</v>
      </c>
      <c r="I40">
        <f t="shared" si="5"/>
        <v>-3.8150000000314321E-2</v>
      </c>
      <c r="O40">
        <f t="shared" ca="1" si="2"/>
        <v>9.8312768193057731E-2</v>
      </c>
      <c r="Q40" s="2">
        <f t="shared" si="4"/>
        <v>13935.849999999999</v>
      </c>
    </row>
    <row r="41" spans="1:17" x14ac:dyDescent="0.2">
      <c r="A41" s="41" t="s">
        <v>95</v>
      </c>
      <c r="B41" s="42" t="s">
        <v>188</v>
      </c>
      <c r="C41" s="41">
        <v>29165.601999999999</v>
      </c>
      <c r="D41" s="41" t="s">
        <v>50</v>
      </c>
      <c r="E41">
        <f t="shared" si="0"/>
        <v>2614.0237622869672</v>
      </c>
      <c r="F41">
        <f t="shared" si="1"/>
        <v>2614</v>
      </c>
      <c r="G41">
        <f t="shared" si="3"/>
        <v>0.12861199999679229</v>
      </c>
      <c r="I41">
        <f t="shared" si="5"/>
        <v>0.12861199999679229</v>
      </c>
      <c r="O41">
        <f t="shared" ca="1" si="2"/>
        <v>9.3883557742496349E-2</v>
      </c>
      <c r="Q41" s="2">
        <f t="shared" si="4"/>
        <v>14147.101999999999</v>
      </c>
    </row>
    <row r="42" spans="1:17" x14ac:dyDescent="0.2">
      <c r="A42" s="41" t="s">
        <v>123</v>
      </c>
      <c r="B42" s="42" t="s">
        <v>188</v>
      </c>
      <c r="C42" s="41">
        <v>29306.400000000001</v>
      </c>
      <c r="D42" s="41" t="s">
        <v>50</v>
      </c>
      <c r="E42">
        <f t="shared" si="0"/>
        <v>2640.0375283467242</v>
      </c>
      <c r="F42">
        <f t="shared" si="1"/>
        <v>2640</v>
      </c>
      <c r="G42">
        <f t="shared" si="3"/>
        <v>0.20311999999830732</v>
      </c>
      <c r="I42">
        <f t="shared" si="5"/>
        <v>0.20311999999830732</v>
      </c>
      <c r="O42">
        <f t="shared" ca="1" si="2"/>
        <v>9.0930750775455427E-2</v>
      </c>
      <c r="Q42" s="2">
        <f t="shared" si="4"/>
        <v>14287.900000000001</v>
      </c>
    </row>
    <row r="43" spans="1:17" x14ac:dyDescent="0.2">
      <c r="A43" s="41" t="s">
        <v>95</v>
      </c>
      <c r="B43" s="42" t="s">
        <v>188</v>
      </c>
      <c r="C43" s="41">
        <v>30069.319</v>
      </c>
      <c r="D43" s="41" t="s">
        <v>50</v>
      </c>
      <c r="E43">
        <f t="shared" si="0"/>
        <v>2780.9940503750431</v>
      </c>
      <c r="F43">
        <f t="shared" si="1"/>
        <v>2781</v>
      </c>
      <c r="G43">
        <f t="shared" si="3"/>
        <v>-3.2202000002143905E-2</v>
      </c>
      <c r="I43">
        <f t="shared" si="5"/>
        <v>-3.2202000002143905E-2</v>
      </c>
      <c r="O43">
        <f t="shared" ca="1" si="2"/>
        <v>7.491745145419515E-2</v>
      </c>
      <c r="Q43" s="2">
        <f t="shared" si="4"/>
        <v>15050.819</v>
      </c>
    </row>
    <row r="44" spans="1:17" x14ac:dyDescent="0.2">
      <c r="A44" s="41" t="s">
        <v>76</v>
      </c>
      <c r="B44" s="42" t="s">
        <v>188</v>
      </c>
      <c r="C44" s="41">
        <v>30789.331999999999</v>
      </c>
      <c r="D44" s="41" t="s">
        <v>50</v>
      </c>
      <c r="E44">
        <f t="shared" si="0"/>
        <v>2914.0232819123044</v>
      </c>
      <c r="F44">
        <f t="shared" si="1"/>
        <v>2914</v>
      </c>
      <c r="G44">
        <f t="shared" si="3"/>
        <v>0.1260119999969902</v>
      </c>
      <c r="I44">
        <f t="shared" si="5"/>
        <v>0.1260119999969902</v>
      </c>
      <c r="O44">
        <f t="shared" ca="1" si="2"/>
        <v>5.9812708122793601E-2</v>
      </c>
      <c r="Q44" s="2">
        <f t="shared" si="4"/>
        <v>15770.831999999999</v>
      </c>
    </row>
    <row r="45" spans="1:17" x14ac:dyDescent="0.2">
      <c r="A45" s="41" t="s">
        <v>95</v>
      </c>
      <c r="B45" s="42" t="s">
        <v>188</v>
      </c>
      <c r="C45" s="41">
        <v>35476.43</v>
      </c>
      <c r="D45" s="41" t="s">
        <v>50</v>
      </c>
      <c r="E45">
        <f t="shared" si="0"/>
        <v>3780.0090975570733</v>
      </c>
      <c r="F45">
        <f t="shared" si="1"/>
        <v>3780</v>
      </c>
      <c r="G45">
        <f t="shared" si="3"/>
        <v>4.9240000000281725E-2</v>
      </c>
      <c r="I45">
        <f t="shared" si="5"/>
        <v>4.9240000000281725E-2</v>
      </c>
      <c r="O45">
        <f t="shared" ca="1" si="2"/>
        <v>-3.8538477779414992E-2</v>
      </c>
      <c r="Q45" s="2">
        <f t="shared" si="4"/>
        <v>20457.93</v>
      </c>
    </row>
    <row r="46" spans="1:17" x14ac:dyDescent="0.2">
      <c r="A46" s="41" t="s">
        <v>95</v>
      </c>
      <c r="B46" s="42" t="s">
        <v>188</v>
      </c>
      <c r="C46" s="41">
        <v>36163.53</v>
      </c>
      <c r="D46" s="41" t="s">
        <v>50</v>
      </c>
      <c r="E46">
        <f t="shared" si="0"/>
        <v>3906.9573401433213</v>
      </c>
      <c r="F46">
        <f t="shared" si="1"/>
        <v>3907</v>
      </c>
      <c r="G46">
        <f t="shared" si="3"/>
        <v>-0.23089400000026217</v>
      </c>
      <c r="I46">
        <f t="shared" si="5"/>
        <v>-0.23089400000026217</v>
      </c>
      <c r="O46">
        <f t="shared" ca="1" si="2"/>
        <v>-5.2961804118422495E-2</v>
      </c>
      <c r="Q46" s="2">
        <f t="shared" si="4"/>
        <v>21145.03</v>
      </c>
    </row>
    <row r="47" spans="1:17" x14ac:dyDescent="0.2">
      <c r="A47" s="41" t="s">
        <v>95</v>
      </c>
      <c r="B47" s="42" t="s">
        <v>188</v>
      </c>
      <c r="C47" s="41">
        <v>36461.578999999998</v>
      </c>
      <c r="D47" s="41" t="s">
        <v>50</v>
      </c>
      <c r="E47">
        <f t="shared" si="0"/>
        <v>3962.0247200801409</v>
      </c>
      <c r="F47">
        <f t="shared" si="1"/>
        <v>3962</v>
      </c>
      <c r="G47">
        <f t="shared" si="3"/>
        <v>0.13379599999461789</v>
      </c>
      <c r="I47">
        <f t="shared" si="5"/>
        <v>0.13379599999461789</v>
      </c>
      <c r="O47">
        <f t="shared" ca="1" si="2"/>
        <v>-5.9208126548701334E-2</v>
      </c>
      <c r="Q47" s="2">
        <f t="shared" si="4"/>
        <v>21443.078999999998</v>
      </c>
    </row>
    <row r="48" spans="1:17" x14ac:dyDescent="0.2">
      <c r="A48" s="41" t="s">
        <v>95</v>
      </c>
      <c r="B48" s="42" t="s">
        <v>188</v>
      </c>
      <c r="C48" s="41">
        <v>36607.47</v>
      </c>
      <c r="D48" s="41" t="s">
        <v>50</v>
      </c>
      <c r="E48">
        <f t="shared" si="0"/>
        <v>3988.9794662002846</v>
      </c>
      <c r="F48">
        <f t="shared" si="1"/>
        <v>3989</v>
      </c>
      <c r="G48">
        <f t="shared" si="3"/>
        <v>-0.11113800000021001</v>
      </c>
      <c r="I48">
        <f t="shared" si="5"/>
        <v>-0.11113800000021001</v>
      </c>
      <c r="O48">
        <f t="shared" ca="1" si="2"/>
        <v>-6.2274503014474625E-2</v>
      </c>
      <c r="Q48" s="2">
        <f t="shared" si="4"/>
        <v>21588.97</v>
      </c>
    </row>
    <row r="49" spans="1:31" x14ac:dyDescent="0.2">
      <c r="A49" t="s">
        <v>26</v>
      </c>
      <c r="C49" s="11">
        <v>46349.642</v>
      </c>
      <c r="D49" s="11"/>
      <c r="E49">
        <f t="shared" si="0"/>
        <v>5788.9381539792939</v>
      </c>
      <c r="F49">
        <f t="shared" si="1"/>
        <v>5789</v>
      </c>
      <c r="I49" s="27">
        <v>-0.33473800000501797</v>
      </c>
      <c r="O49">
        <f t="shared" ca="1" si="2"/>
        <v>-0.26669960073269117</v>
      </c>
      <c r="Q49" s="2">
        <f t="shared" si="4"/>
        <v>31331.142</v>
      </c>
      <c r="AA49">
        <v>7</v>
      </c>
      <c r="AC49" t="s">
        <v>25</v>
      </c>
      <c r="AE49" t="s">
        <v>27</v>
      </c>
    </row>
    <row r="50" spans="1:31" x14ac:dyDescent="0.2">
      <c r="A50" t="s">
        <v>28</v>
      </c>
      <c r="C50" s="11">
        <v>46766.472000000002</v>
      </c>
      <c r="D50" s="11"/>
      <c r="E50">
        <f t="shared" si="0"/>
        <v>5865.9514503804385</v>
      </c>
      <c r="F50">
        <f t="shared" si="1"/>
        <v>5866</v>
      </c>
      <c r="G50">
        <f t="shared" ref="G50:G55" si="6">+C50-(C$7+F50*C$8)</f>
        <v>-0.26277200000185985</v>
      </c>
      <c r="I50">
        <f>G50</f>
        <v>-0.26277200000185985</v>
      </c>
      <c r="O50">
        <f t="shared" ca="1" si="2"/>
        <v>-0.27544445213508151</v>
      </c>
      <c r="Q50" s="2">
        <f t="shared" si="4"/>
        <v>31747.972000000002</v>
      </c>
      <c r="AA50">
        <v>6</v>
      </c>
      <c r="AC50" t="s">
        <v>25</v>
      </c>
      <c r="AE50" t="s">
        <v>27</v>
      </c>
    </row>
    <row r="51" spans="1:31" x14ac:dyDescent="0.2">
      <c r="A51" t="s">
        <v>29</v>
      </c>
      <c r="C51" s="11">
        <v>47908.457000000002</v>
      </c>
      <c r="D51" s="11"/>
      <c r="E51">
        <f t="shared" si="0"/>
        <v>6076.9440115940279</v>
      </c>
      <c r="F51">
        <f t="shared" si="1"/>
        <v>6077</v>
      </c>
      <c r="G51">
        <f t="shared" si="6"/>
        <v>-0.30303399999684189</v>
      </c>
      <c r="I51">
        <f>G51</f>
        <v>-0.30303399999684189</v>
      </c>
      <c r="O51">
        <f t="shared" ca="1" si="2"/>
        <v>-0.29940761636760582</v>
      </c>
      <c r="Q51" s="2">
        <f t="shared" si="4"/>
        <v>32889.957000000002</v>
      </c>
      <c r="AA51">
        <v>6</v>
      </c>
      <c r="AC51" t="s">
        <v>25</v>
      </c>
      <c r="AE51" t="s">
        <v>27</v>
      </c>
    </row>
    <row r="52" spans="1:31" x14ac:dyDescent="0.2">
      <c r="A52" t="s">
        <v>30</v>
      </c>
      <c r="C52" s="11">
        <v>48606.622000000003</v>
      </c>
      <c r="D52" s="11">
        <v>1.2E-2</v>
      </c>
      <c r="E52">
        <f t="shared" si="0"/>
        <v>6205.9366178889313</v>
      </c>
      <c r="F52">
        <f t="shared" si="1"/>
        <v>6206</v>
      </c>
      <c r="G52">
        <f t="shared" si="6"/>
        <v>-0.34305199999653269</v>
      </c>
      <c r="I52">
        <f>G52</f>
        <v>-0.34305199999653269</v>
      </c>
      <c r="O52">
        <f t="shared" ca="1" si="2"/>
        <v>-0.31405808170407801</v>
      </c>
      <c r="Q52" s="2">
        <f t="shared" si="4"/>
        <v>33588.122000000003</v>
      </c>
      <c r="AA52">
        <v>14</v>
      </c>
      <c r="AC52" t="s">
        <v>25</v>
      </c>
      <c r="AE52" t="s">
        <v>27</v>
      </c>
    </row>
    <row r="53" spans="1:31" x14ac:dyDescent="0.2">
      <c r="A53" s="41" t="s">
        <v>176</v>
      </c>
      <c r="B53" s="42" t="s">
        <v>188</v>
      </c>
      <c r="C53" s="41">
        <v>50836.546000000002</v>
      </c>
      <c r="D53" s="41" t="s">
        <v>50</v>
      </c>
      <c r="E53">
        <f t="shared" si="0"/>
        <v>6617.9362291549733</v>
      </c>
      <c r="F53">
        <f t="shared" si="1"/>
        <v>6618</v>
      </c>
      <c r="G53">
        <f t="shared" si="6"/>
        <v>-0.34515599999576807</v>
      </c>
      <c r="I53">
        <f>G53</f>
        <v>-0.34515599999576807</v>
      </c>
      <c r="O53">
        <f t="shared" ca="1" si="2"/>
        <v>-0.36084871518180306</v>
      </c>
      <c r="Q53" s="2">
        <f t="shared" si="4"/>
        <v>35818.046000000002</v>
      </c>
    </row>
    <row r="54" spans="1:31" x14ac:dyDescent="0.2">
      <c r="A54" s="41" t="s">
        <v>176</v>
      </c>
      <c r="B54" s="42" t="s">
        <v>188</v>
      </c>
      <c r="C54" s="41">
        <v>51139.648000000001</v>
      </c>
      <c r="D54" s="41" t="s">
        <v>50</v>
      </c>
      <c r="E54">
        <f t="shared" si="0"/>
        <v>6673.9371987727536</v>
      </c>
      <c r="F54">
        <f t="shared" si="1"/>
        <v>6674</v>
      </c>
      <c r="G54">
        <f t="shared" si="6"/>
        <v>-0.33990800000174204</v>
      </c>
      <c r="I54">
        <f>G54</f>
        <v>-0.33990800000174204</v>
      </c>
      <c r="O54">
        <f t="shared" ca="1" si="2"/>
        <v>-0.36720860711081427</v>
      </c>
      <c r="Q54" s="2">
        <f t="shared" si="4"/>
        <v>36121.148000000001</v>
      </c>
    </row>
    <row r="55" spans="1:31" x14ac:dyDescent="0.2">
      <c r="A55" s="24" t="s">
        <v>39</v>
      </c>
      <c r="B55" s="25"/>
      <c r="C55" s="26">
        <v>54116.356099999997</v>
      </c>
      <c r="D55" s="26">
        <v>1.9E-3</v>
      </c>
      <c r="E55">
        <f t="shared" si="0"/>
        <v>7223.9122562421908</v>
      </c>
      <c r="F55">
        <f t="shared" si="1"/>
        <v>7224</v>
      </c>
      <c r="G55">
        <f t="shared" si="6"/>
        <v>-0.47490800000377931</v>
      </c>
      <c r="K55">
        <f>G55</f>
        <v>-0.47490800000377931</v>
      </c>
      <c r="O55">
        <f t="shared" ca="1" si="2"/>
        <v>-0.42967183141360266</v>
      </c>
      <c r="Q55" s="2">
        <f t="shared" si="4"/>
        <v>39097.856099999997</v>
      </c>
    </row>
    <row r="56" spans="1:31" x14ac:dyDescent="0.2">
      <c r="B56" s="5"/>
    </row>
    <row r="57" spans="1:31" x14ac:dyDescent="0.2">
      <c r="B57" s="5"/>
    </row>
    <row r="58" spans="1:31" x14ac:dyDescent="0.2">
      <c r="B58" s="5"/>
    </row>
    <row r="59" spans="1:31" x14ac:dyDescent="0.2">
      <c r="B59" s="5"/>
    </row>
    <row r="60" spans="1:31" x14ac:dyDescent="0.2">
      <c r="B60" s="5"/>
    </row>
    <row r="61" spans="1:31" x14ac:dyDescent="0.2">
      <c r="B61" s="5"/>
    </row>
    <row r="62" spans="1:31" x14ac:dyDescent="0.2">
      <c r="B62" s="5"/>
    </row>
    <row r="63" spans="1:31" x14ac:dyDescent="0.2">
      <c r="B63" s="5"/>
    </row>
    <row r="64" spans="1:31" x14ac:dyDescent="0.2">
      <c r="B64" s="5"/>
    </row>
    <row r="65" spans="2:2" x14ac:dyDescent="0.2">
      <c r="B65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4"/>
  <sheetViews>
    <sheetView workbookViewId="0">
      <selection activeCell="A17" sqref="A17:D45"/>
    </sheetView>
  </sheetViews>
  <sheetFormatPr defaultRowHeight="12.75" x14ac:dyDescent="0.2"/>
  <cols>
    <col min="1" max="1" width="19.7109375" style="26" customWidth="1"/>
    <col min="2" max="2" width="4.42578125" style="13" customWidth="1"/>
    <col min="3" max="3" width="12.7109375" style="26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26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28" t="s">
        <v>40</v>
      </c>
      <c r="I1" s="29" t="s">
        <v>41</v>
      </c>
      <c r="J1" s="30" t="s">
        <v>42</v>
      </c>
    </row>
    <row r="2" spans="1:16" x14ac:dyDescent="0.2">
      <c r="I2" s="31" t="s">
        <v>43</v>
      </c>
      <c r="J2" s="32" t="s">
        <v>44</v>
      </c>
    </row>
    <row r="3" spans="1:16" x14ac:dyDescent="0.2">
      <c r="A3" s="33" t="s">
        <v>45</v>
      </c>
      <c r="I3" s="31" t="s">
        <v>46</v>
      </c>
      <c r="J3" s="32" t="s">
        <v>47</v>
      </c>
    </row>
    <row r="4" spans="1:16" x14ac:dyDescent="0.2">
      <c r="I4" s="31" t="s">
        <v>48</v>
      </c>
      <c r="J4" s="32" t="s">
        <v>47</v>
      </c>
    </row>
    <row r="5" spans="1:16" ht="13.5" thickBot="1" x14ac:dyDescent="0.25">
      <c r="I5" s="34" t="s">
        <v>49</v>
      </c>
      <c r="J5" s="35" t="s">
        <v>50</v>
      </c>
    </row>
    <row r="10" spans="1:16" ht="13.5" thickBot="1" x14ac:dyDescent="0.25"/>
    <row r="11" spans="1:16" ht="12.75" customHeight="1" thickBot="1" x14ac:dyDescent="0.25">
      <c r="A11" s="26" t="str">
        <f t="shared" ref="A11:A45" si="0">P11</f>
        <v> PZ 4.155 </v>
      </c>
      <c r="B11" s="5" t="str">
        <f t="shared" ref="B11:B45" si="1">IF(H11=INT(H11),"I","II")</f>
        <v>I</v>
      </c>
      <c r="C11" s="26">
        <f t="shared" ref="C11:C45" si="2">1*G11</f>
        <v>15017.35</v>
      </c>
      <c r="D11" s="13" t="str">
        <f t="shared" ref="D11:D45" si="3">VLOOKUP(F11,I$1:J$5,2,FALSE)</f>
        <v>vis</v>
      </c>
      <c r="E11" s="36">
        <f>VLOOKUP(C11,Active!C$21:E$973,3,FALSE)</f>
        <v>0</v>
      </c>
      <c r="F11" s="5" t="s">
        <v>49</v>
      </c>
      <c r="G11" s="13" t="str">
        <f t="shared" ref="G11:G45" si="4">MID(I11,3,LEN(I11)-3)</f>
        <v>15017.35</v>
      </c>
      <c r="H11" s="26">
        <f t="shared" ref="H11:H45" si="5">1*K11</f>
        <v>-6926</v>
      </c>
      <c r="I11" s="37" t="s">
        <v>58</v>
      </c>
      <c r="J11" s="38" t="s">
        <v>59</v>
      </c>
      <c r="K11" s="37">
        <v>-6926</v>
      </c>
      <c r="L11" s="37" t="s">
        <v>60</v>
      </c>
      <c r="M11" s="38" t="s">
        <v>55</v>
      </c>
      <c r="N11" s="38"/>
      <c r="O11" s="39" t="s">
        <v>56</v>
      </c>
      <c r="P11" s="39" t="s">
        <v>57</v>
      </c>
    </row>
    <row r="12" spans="1:16" ht="12.75" customHeight="1" thickBot="1" x14ac:dyDescent="0.25">
      <c r="A12" s="26" t="str">
        <f t="shared" si="0"/>
        <v> BBS 78 </v>
      </c>
      <c r="B12" s="5" t="str">
        <f t="shared" si="1"/>
        <v>I</v>
      </c>
      <c r="C12" s="26">
        <f t="shared" si="2"/>
        <v>46349.642</v>
      </c>
      <c r="D12" s="13" t="str">
        <f t="shared" si="3"/>
        <v>vis</v>
      </c>
      <c r="E12" s="36">
        <f>VLOOKUP(C12,Active!C$21:E$973,3,FALSE)</f>
        <v>5788.9381539792939</v>
      </c>
      <c r="F12" s="5" t="s">
        <v>49</v>
      </c>
      <c r="G12" s="13" t="str">
        <f t="shared" si="4"/>
        <v>46349.642</v>
      </c>
      <c r="H12" s="26">
        <f t="shared" si="5"/>
        <v>-1137</v>
      </c>
      <c r="I12" s="37" t="s">
        <v>155</v>
      </c>
      <c r="J12" s="38" t="s">
        <v>156</v>
      </c>
      <c r="K12" s="37">
        <v>-1137</v>
      </c>
      <c r="L12" s="37" t="s">
        <v>157</v>
      </c>
      <c r="M12" s="38" t="s">
        <v>80</v>
      </c>
      <c r="N12" s="38"/>
      <c r="O12" s="39" t="s">
        <v>158</v>
      </c>
      <c r="P12" s="39" t="s">
        <v>159</v>
      </c>
    </row>
    <row r="13" spans="1:16" ht="12.75" customHeight="1" thickBot="1" x14ac:dyDescent="0.25">
      <c r="A13" s="26" t="str">
        <f t="shared" si="0"/>
        <v> BBS 82 </v>
      </c>
      <c r="B13" s="5" t="str">
        <f t="shared" si="1"/>
        <v>I</v>
      </c>
      <c r="C13" s="26">
        <f t="shared" si="2"/>
        <v>46766.472000000002</v>
      </c>
      <c r="D13" s="13" t="str">
        <f t="shared" si="3"/>
        <v>vis</v>
      </c>
      <c r="E13" s="36">
        <f>VLOOKUP(C13,Active!C$21:E$973,3,FALSE)</f>
        <v>5865.9514503804385</v>
      </c>
      <c r="F13" s="5" t="s">
        <v>49</v>
      </c>
      <c r="G13" s="13" t="str">
        <f t="shared" si="4"/>
        <v>46766.472</v>
      </c>
      <c r="H13" s="26">
        <f t="shared" si="5"/>
        <v>-1060</v>
      </c>
      <c r="I13" s="37" t="s">
        <v>160</v>
      </c>
      <c r="J13" s="38" t="s">
        <v>161</v>
      </c>
      <c r="K13" s="37">
        <v>-1060</v>
      </c>
      <c r="L13" s="37" t="s">
        <v>162</v>
      </c>
      <c r="M13" s="38" t="s">
        <v>80</v>
      </c>
      <c r="N13" s="38"/>
      <c r="O13" s="39" t="s">
        <v>158</v>
      </c>
      <c r="P13" s="39" t="s">
        <v>163</v>
      </c>
    </row>
    <row r="14" spans="1:16" ht="12.75" customHeight="1" thickBot="1" x14ac:dyDescent="0.25">
      <c r="A14" s="26" t="str">
        <f t="shared" si="0"/>
        <v> BBS 94 </v>
      </c>
      <c r="B14" s="5" t="str">
        <f t="shared" si="1"/>
        <v>I</v>
      </c>
      <c r="C14" s="26">
        <f t="shared" si="2"/>
        <v>47908.457000000002</v>
      </c>
      <c r="D14" s="13" t="str">
        <f t="shared" si="3"/>
        <v>vis</v>
      </c>
      <c r="E14" s="36">
        <f>VLOOKUP(C14,Active!C$21:E$973,3,FALSE)</f>
        <v>6076.9440115940279</v>
      </c>
      <c r="F14" s="5" t="s">
        <v>49</v>
      </c>
      <c r="G14" s="13" t="str">
        <f t="shared" si="4"/>
        <v>47908.457</v>
      </c>
      <c r="H14" s="26">
        <f t="shared" si="5"/>
        <v>-849</v>
      </c>
      <c r="I14" s="37" t="s">
        <v>164</v>
      </c>
      <c r="J14" s="38" t="s">
        <v>165</v>
      </c>
      <c r="K14" s="37">
        <v>-849</v>
      </c>
      <c r="L14" s="37" t="s">
        <v>166</v>
      </c>
      <c r="M14" s="38" t="s">
        <v>80</v>
      </c>
      <c r="N14" s="38"/>
      <c r="O14" s="39" t="s">
        <v>158</v>
      </c>
      <c r="P14" s="39" t="s">
        <v>167</v>
      </c>
    </row>
    <row r="15" spans="1:16" ht="12.75" customHeight="1" thickBot="1" x14ac:dyDescent="0.25">
      <c r="A15" s="26" t="str">
        <f t="shared" si="0"/>
        <v> BBS 99 </v>
      </c>
      <c r="B15" s="5" t="str">
        <f t="shared" si="1"/>
        <v>I</v>
      </c>
      <c r="C15" s="26">
        <f t="shared" si="2"/>
        <v>48606.622000000003</v>
      </c>
      <c r="D15" s="13" t="str">
        <f t="shared" si="3"/>
        <v>vis</v>
      </c>
      <c r="E15" s="36">
        <f>VLOOKUP(C15,Active!C$21:E$973,3,FALSE)</f>
        <v>6205.9366178889313</v>
      </c>
      <c r="F15" s="5" t="s">
        <v>49</v>
      </c>
      <c r="G15" s="13" t="str">
        <f t="shared" si="4"/>
        <v>48606.622</v>
      </c>
      <c r="H15" s="26">
        <f t="shared" si="5"/>
        <v>-720</v>
      </c>
      <c r="I15" s="37" t="s">
        <v>168</v>
      </c>
      <c r="J15" s="38" t="s">
        <v>169</v>
      </c>
      <c r="K15" s="37">
        <v>-720</v>
      </c>
      <c r="L15" s="37" t="s">
        <v>170</v>
      </c>
      <c r="M15" s="38" t="s">
        <v>80</v>
      </c>
      <c r="N15" s="38"/>
      <c r="O15" s="39" t="s">
        <v>158</v>
      </c>
      <c r="P15" s="39" t="s">
        <v>171</v>
      </c>
    </row>
    <row r="16" spans="1:16" ht="12.75" customHeight="1" thickBot="1" x14ac:dyDescent="0.25">
      <c r="A16" s="26" t="str">
        <f t="shared" si="0"/>
        <v>BAVM 186 </v>
      </c>
      <c r="B16" s="5" t="str">
        <f t="shared" si="1"/>
        <v>I</v>
      </c>
      <c r="C16" s="26">
        <f t="shared" si="2"/>
        <v>54116.356099999997</v>
      </c>
      <c r="D16" s="13" t="str">
        <f t="shared" si="3"/>
        <v>vis</v>
      </c>
      <c r="E16" s="36">
        <f>VLOOKUP(C16,Active!C$21:E$973,3,FALSE)</f>
        <v>7223.9122562421908</v>
      </c>
      <c r="F16" s="5" t="s">
        <v>49</v>
      </c>
      <c r="G16" s="13" t="str">
        <f t="shared" si="4"/>
        <v>54116.3561</v>
      </c>
      <c r="H16" s="26">
        <f t="shared" si="5"/>
        <v>298</v>
      </c>
      <c r="I16" s="37" t="s">
        <v>180</v>
      </c>
      <c r="J16" s="38" t="s">
        <v>181</v>
      </c>
      <c r="K16" s="37">
        <v>298</v>
      </c>
      <c r="L16" s="37" t="s">
        <v>182</v>
      </c>
      <c r="M16" s="38" t="s">
        <v>183</v>
      </c>
      <c r="N16" s="38" t="s">
        <v>184</v>
      </c>
      <c r="O16" s="39" t="s">
        <v>185</v>
      </c>
      <c r="P16" s="40" t="s">
        <v>186</v>
      </c>
    </row>
    <row r="17" spans="1:16" ht="12.75" customHeight="1" thickBot="1" x14ac:dyDescent="0.25">
      <c r="A17" s="26" t="str">
        <f t="shared" si="0"/>
        <v> PZ 4.155 </v>
      </c>
      <c r="B17" s="5" t="str">
        <f t="shared" si="1"/>
        <v>II</v>
      </c>
      <c r="C17" s="26">
        <f t="shared" si="2"/>
        <v>14749.29</v>
      </c>
      <c r="D17" s="13" t="str">
        <f t="shared" si="3"/>
        <v>vis</v>
      </c>
      <c r="E17" s="36">
        <f>VLOOKUP(C17,Active!C$21:E$973,3,FALSE)</f>
        <v>-49.526627721830458</v>
      </c>
      <c r="F17" s="5" t="s">
        <v>49</v>
      </c>
      <c r="G17" s="13" t="str">
        <f t="shared" si="4"/>
        <v>14749.29</v>
      </c>
      <c r="H17" s="26">
        <f t="shared" si="5"/>
        <v>-6975.5</v>
      </c>
      <c r="I17" s="37" t="s">
        <v>52</v>
      </c>
      <c r="J17" s="38" t="s">
        <v>53</v>
      </c>
      <c r="K17" s="37">
        <v>-6975.5</v>
      </c>
      <c r="L17" s="37" t="s">
        <v>54</v>
      </c>
      <c r="M17" s="38" t="s">
        <v>55</v>
      </c>
      <c r="N17" s="38"/>
      <c r="O17" s="39" t="s">
        <v>56</v>
      </c>
      <c r="P17" s="39" t="s">
        <v>57</v>
      </c>
    </row>
    <row r="18" spans="1:16" ht="12.75" customHeight="1" thickBot="1" x14ac:dyDescent="0.25">
      <c r="A18" s="26" t="str">
        <f t="shared" si="0"/>
        <v> PZ 4.155 </v>
      </c>
      <c r="B18" s="5" t="str">
        <f t="shared" si="1"/>
        <v>I</v>
      </c>
      <c r="C18" s="26">
        <f t="shared" si="2"/>
        <v>17642.34</v>
      </c>
      <c r="D18" s="13" t="str">
        <f t="shared" si="3"/>
        <v>vis</v>
      </c>
      <c r="E18" s="36">
        <f>VLOOKUP(C18,Active!C$21:E$973,3,FALSE)</f>
        <v>484.99180222162187</v>
      </c>
      <c r="F18" s="5" t="s">
        <v>49</v>
      </c>
      <c r="G18" s="13" t="str">
        <f t="shared" si="4"/>
        <v>17642.34</v>
      </c>
      <c r="H18" s="26">
        <f t="shared" si="5"/>
        <v>-6441</v>
      </c>
      <c r="I18" s="37" t="s">
        <v>61</v>
      </c>
      <c r="J18" s="38" t="s">
        <v>62</v>
      </c>
      <c r="K18" s="37">
        <v>-6441</v>
      </c>
      <c r="L18" s="37" t="s">
        <v>63</v>
      </c>
      <c r="M18" s="38" t="s">
        <v>55</v>
      </c>
      <c r="N18" s="38"/>
      <c r="O18" s="39" t="s">
        <v>56</v>
      </c>
      <c r="P18" s="39" t="s">
        <v>57</v>
      </c>
    </row>
    <row r="19" spans="1:16" ht="12.75" customHeight="1" thickBot="1" x14ac:dyDescent="0.25">
      <c r="A19" s="26" t="str">
        <f t="shared" si="0"/>
        <v> PZ 4.155 </v>
      </c>
      <c r="B19" s="5" t="str">
        <f t="shared" si="1"/>
        <v>I</v>
      </c>
      <c r="C19" s="26">
        <f t="shared" si="2"/>
        <v>20207.28</v>
      </c>
      <c r="D19" s="13" t="str">
        <f t="shared" si="3"/>
        <v>vis</v>
      </c>
      <c r="E19" s="36">
        <f>VLOOKUP(C19,Active!C$21:E$973,3,FALSE)</f>
        <v>958.88879733029898</v>
      </c>
      <c r="F19" s="5" t="s">
        <v>49</v>
      </c>
      <c r="G19" s="13" t="str">
        <f t="shared" si="4"/>
        <v>20207.28</v>
      </c>
      <c r="H19" s="26">
        <f t="shared" si="5"/>
        <v>-5967</v>
      </c>
      <c r="I19" s="37" t="s">
        <v>64</v>
      </c>
      <c r="J19" s="38" t="s">
        <v>65</v>
      </c>
      <c r="K19" s="37">
        <v>-5967</v>
      </c>
      <c r="L19" s="37" t="s">
        <v>66</v>
      </c>
      <c r="M19" s="38" t="s">
        <v>55</v>
      </c>
      <c r="N19" s="38"/>
      <c r="O19" s="39" t="s">
        <v>56</v>
      </c>
      <c r="P19" s="39" t="s">
        <v>57</v>
      </c>
    </row>
    <row r="20" spans="1:16" ht="12.75" customHeight="1" thickBot="1" x14ac:dyDescent="0.25">
      <c r="A20" s="26" t="str">
        <f t="shared" si="0"/>
        <v> AN 204.295 </v>
      </c>
      <c r="B20" s="5" t="str">
        <f t="shared" si="1"/>
        <v>I</v>
      </c>
      <c r="C20" s="26">
        <f t="shared" si="2"/>
        <v>21252.45</v>
      </c>
      <c r="D20" s="13" t="str">
        <f t="shared" si="3"/>
        <v>vis</v>
      </c>
      <c r="E20" s="36">
        <f>VLOOKUP(C20,Active!C$21:E$973,3,FALSE)</f>
        <v>1151.9938689412284</v>
      </c>
      <c r="F20" s="5" t="s">
        <v>49</v>
      </c>
      <c r="G20" s="13" t="str">
        <f t="shared" si="4"/>
        <v>21252.45</v>
      </c>
      <c r="H20" s="26">
        <f t="shared" si="5"/>
        <v>-5774</v>
      </c>
      <c r="I20" s="37" t="s">
        <v>67</v>
      </c>
      <c r="J20" s="38" t="s">
        <v>68</v>
      </c>
      <c r="K20" s="37">
        <v>-5774</v>
      </c>
      <c r="L20" s="37" t="s">
        <v>69</v>
      </c>
      <c r="M20" s="38" t="s">
        <v>55</v>
      </c>
      <c r="N20" s="38"/>
      <c r="O20" s="39" t="s">
        <v>70</v>
      </c>
      <c r="P20" s="39" t="s">
        <v>71</v>
      </c>
    </row>
    <row r="21" spans="1:16" ht="12.75" customHeight="1" thickBot="1" x14ac:dyDescent="0.25">
      <c r="A21" s="26" t="str">
        <f t="shared" si="0"/>
        <v> MVS 48 </v>
      </c>
      <c r="B21" s="5" t="str">
        <f t="shared" si="1"/>
        <v>I</v>
      </c>
      <c r="C21" s="26">
        <f t="shared" si="2"/>
        <v>21252.483</v>
      </c>
      <c r="D21" s="13" t="str">
        <f t="shared" si="3"/>
        <v>vis</v>
      </c>
      <c r="E21" s="36">
        <f>VLOOKUP(C21,Active!C$21:E$973,3,FALSE)</f>
        <v>1151.9999660042545</v>
      </c>
      <c r="F21" s="5" t="s">
        <v>49</v>
      </c>
      <c r="G21" s="13" t="str">
        <f t="shared" si="4"/>
        <v>21252.483</v>
      </c>
      <c r="H21" s="26">
        <f t="shared" si="5"/>
        <v>-5774</v>
      </c>
      <c r="I21" s="37" t="s">
        <v>72</v>
      </c>
      <c r="J21" s="38" t="s">
        <v>73</v>
      </c>
      <c r="K21" s="37">
        <v>-5774</v>
      </c>
      <c r="L21" s="37" t="s">
        <v>74</v>
      </c>
      <c r="M21" s="38" t="s">
        <v>55</v>
      </c>
      <c r="N21" s="38"/>
      <c r="O21" s="39" t="s">
        <v>75</v>
      </c>
      <c r="P21" s="39" t="s">
        <v>76</v>
      </c>
    </row>
    <row r="22" spans="1:16" ht="12.75" customHeight="1" thickBot="1" x14ac:dyDescent="0.25">
      <c r="A22" s="26" t="str">
        <f t="shared" si="0"/>
        <v> IODE 4.1.109 </v>
      </c>
      <c r="B22" s="5" t="str">
        <f t="shared" si="1"/>
        <v>I</v>
      </c>
      <c r="C22" s="26">
        <f t="shared" si="2"/>
        <v>25620.21</v>
      </c>
      <c r="D22" s="13" t="str">
        <f t="shared" si="3"/>
        <v>vis</v>
      </c>
      <c r="E22" s="36">
        <f>VLOOKUP(C22,Active!C$21:E$973,3,FALSE)</f>
        <v>1958.9789599592934</v>
      </c>
      <c r="F22" s="5" t="s">
        <v>49</v>
      </c>
      <c r="G22" s="13" t="str">
        <f t="shared" si="4"/>
        <v>25620.21</v>
      </c>
      <c r="H22" s="26">
        <f t="shared" si="5"/>
        <v>-4967</v>
      </c>
      <c r="I22" s="37" t="s">
        <v>77</v>
      </c>
      <c r="J22" s="38" t="s">
        <v>78</v>
      </c>
      <c r="K22" s="37">
        <v>-4967</v>
      </c>
      <c r="L22" s="37" t="s">
        <v>79</v>
      </c>
      <c r="M22" s="38" t="s">
        <v>80</v>
      </c>
      <c r="N22" s="38"/>
      <c r="O22" s="39" t="s">
        <v>81</v>
      </c>
      <c r="P22" s="39" t="s">
        <v>82</v>
      </c>
    </row>
    <row r="23" spans="1:16" ht="12.75" customHeight="1" thickBot="1" x14ac:dyDescent="0.25">
      <c r="A23" s="26" t="str">
        <f t="shared" si="0"/>
        <v> PZ 4.155 </v>
      </c>
      <c r="B23" s="5" t="str">
        <f t="shared" si="1"/>
        <v>II</v>
      </c>
      <c r="C23" s="26">
        <f t="shared" si="2"/>
        <v>25623.19</v>
      </c>
      <c r="D23" s="13" t="str">
        <f t="shared" si="3"/>
        <v>vis</v>
      </c>
      <c r="E23" s="36">
        <f>VLOOKUP(C23,Active!C$21:E$973,3,FALSE)</f>
        <v>1959.5295432265136</v>
      </c>
      <c r="F23" s="5" t="s">
        <v>49</v>
      </c>
      <c r="G23" s="13" t="str">
        <f t="shared" si="4"/>
        <v>25623.19</v>
      </c>
      <c r="H23" s="26">
        <f t="shared" si="5"/>
        <v>-4966.5</v>
      </c>
      <c r="I23" s="37" t="s">
        <v>83</v>
      </c>
      <c r="J23" s="38" t="s">
        <v>84</v>
      </c>
      <c r="K23" s="37">
        <v>-4966.5</v>
      </c>
      <c r="L23" s="37" t="s">
        <v>85</v>
      </c>
      <c r="M23" s="38" t="s">
        <v>55</v>
      </c>
      <c r="N23" s="38"/>
      <c r="O23" s="39" t="s">
        <v>56</v>
      </c>
      <c r="P23" s="39" t="s">
        <v>57</v>
      </c>
    </row>
    <row r="24" spans="1:16" ht="12.75" customHeight="1" thickBot="1" x14ac:dyDescent="0.25">
      <c r="A24" s="26" t="str">
        <f t="shared" si="0"/>
        <v> AN 251.311 </v>
      </c>
      <c r="B24" s="5" t="str">
        <f t="shared" si="1"/>
        <v>II</v>
      </c>
      <c r="C24" s="26">
        <f t="shared" si="2"/>
        <v>25682.47</v>
      </c>
      <c r="D24" s="13" t="str">
        <f t="shared" si="3"/>
        <v>vis</v>
      </c>
      <c r="E24" s="36">
        <f>VLOOKUP(C24,Active!C$21:E$973,3,FALSE)</f>
        <v>1970.4820855355124</v>
      </c>
      <c r="F24" s="5" t="s">
        <v>49</v>
      </c>
      <c r="G24" s="13" t="str">
        <f t="shared" si="4"/>
        <v>25682.47</v>
      </c>
      <c r="H24" s="26">
        <f t="shared" si="5"/>
        <v>-4955.5</v>
      </c>
      <c r="I24" s="37" t="s">
        <v>86</v>
      </c>
      <c r="J24" s="38" t="s">
        <v>87</v>
      </c>
      <c r="K24" s="37">
        <v>-4955.5</v>
      </c>
      <c r="L24" s="37" t="s">
        <v>88</v>
      </c>
      <c r="M24" s="38" t="s">
        <v>55</v>
      </c>
      <c r="N24" s="38"/>
      <c r="O24" s="39" t="s">
        <v>89</v>
      </c>
      <c r="P24" s="39" t="s">
        <v>90</v>
      </c>
    </row>
    <row r="25" spans="1:16" ht="12.75" customHeight="1" thickBot="1" x14ac:dyDescent="0.25">
      <c r="A25" s="26" t="str">
        <f t="shared" si="0"/>
        <v> MVS 475 </v>
      </c>
      <c r="B25" s="5" t="str">
        <f t="shared" si="1"/>
        <v>I</v>
      </c>
      <c r="C25" s="26">
        <f t="shared" si="2"/>
        <v>26735.38</v>
      </c>
      <c r="D25" s="13" t="str">
        <f t="shared" si="3"/>
        <v>vis</v>
      </c>
      <c r="E25" s="36">
        <f>VLOOKUP(C25,Active!C$21:E$973,3,FALSE)</f>
        <v>2165.0171955653291</v>
      </c>
      <c r="F25" s="5" t="s">
        <v>49</v>
      </c>
      <c r="G25" s="13" t="str">
        <f t="shared" si="4"/>
        <v>26735.38</v>
      </c>
      <c r="H25" s="26">
        <f t="shared" si="5"/>
        <v>-4761</v>
      </c>
      <c r="I25" s="37" t="s">
        <v>91</v>
      </c>
      <c r="J25" s="38" t="s">
        <v>92</v>
      </c>
      <c r="K25" s="37">
        <v>-4761</v>
      </c>
      <c r="L25" s="37" t="s">
        <v>93</v>
      </c>
      <c r="M25" s="38" t="s">
        <v>55</v>
      </c>
      <c r="N25" s="38"/>
      <c r="O25" s="39" t="s">
        <v>94</v>
      </c>
      <c r="P25" s="39" t="s">
        <v>95</v>
      </c>
    </row>
    <row r="26" spans="1:16" ht="12.75" customHeight="1" thickBot="1" x14ac:dyDescent="0.25">
      <c r="A26" s="26" t="str">
        <f t="shared" si="0"/>
        <v> MVS 48 </v>
      </c>
      <c r="B26" s="5" t="str">
        <f t="shared" si="1"/>
        <v>I</v>
      </c>
      <c r="C26" s="26">
        <f t="shared" si="2"/>
        <v>26735.383999999998</v>
      </c>
      <c r="D26" s="13" t="str">
        <f t="shared" si="3"/>
        <v>vis</v>
      </c>
      <c r="E26" s="36">
        <f>VLOOKUP(C26,Active!C$21:E$973,3,FALSE)</f>
        <v>2165.017934603271</v>
      </c>
      <c r="F26" s="5" t="s">
        <v>49</v>
      </c>
      <c r="G26" s="13" t="str">
        <f t="shared" si="4"/>
        <v>26735.384</v>
      </c>
      <c r="H26" s="26">
        <f t="shared" si="5"/>
        <v>-4761</v>
      </c>
      <c r="I26" s="37" t="s">
        <v>96</v>
      </c>
      <c r="J26" s="38" t="s">
        <v>97</v>
      </c>
      <c r="K26" s="37">
        <v>-4761</v>
      </c>
      <c r="L26" s="37" t="s">
        <v>98</v>
      </c>
      <c r="M26" s="38" t="s">
        <v>55</v>
      </c>
      <c r="N26" s="38"/>
      <c r="O26" s="39" t="s">
        <v>75</v>
      </c>
      <c r="P26" s="39" t="s">
        <v>76</v>
      </c>
    </row>
    <row r="27" spans="1:16" ht="12.75" customHeight="1" thickBot="1" x14ac:dyDescent="0.25">
      <c r="A27" s="26" t="str">
        <f t="shared" si="0"/>
        <v> AN 251.311 </v>
      </c>
      <c r="B27" s="5" t="str">
        <f t="shared" si="1"/>
        <v>I</v>
      </c>
      <c r="C27" s="26">
        <f t="shared" si="2"/>
        <v>26735.4</v>
      </c>
      <c r="D27" s="13" t="str">
        <f t="shared" si="3"/>
        <v>vis</v>
      </c>
      <c r="E27" s="36">
        <f>VLOOKUP(C27,Active!C$21:E$973,3,FALSE)</f>
        <v>2165.0208907550418</v>
      </c>
      <c r="F27" s="5" t="s">
        <v>49</v>
      </c>
      <c r="G27" s="13" t="str">
        <f t="shared" si="4"/>
        <v>26735.40</v>
      </c>
      <c r="H27" s="26">
        <f t="shared" si="5"/>
        <v>-4761</v>
      </c>
      <c r="I27" s="37" t="s">
        <v>99</v>
      </c>
      <c r="J27" s="38" t="s">
        <v>100</v>
      </c>
      <c r="K27" s="37">
        <v>-4761</v>
      </c>
      <c r="L27" s="37" t="s">
        <v>101</v>
      </c>
      <c r="M27" s="38" t="s">
        <v>55</v>
      </c>
      <c r="N27" s="38"/>
      <c r="O27" s="39" t="s">
        <v>89</v>
      </c>
      <c r="P27" s="39" t="s">
        <v>90</v>
      </c>
    </row>
    <row r="28" spans="1:16" ht="12.75" customHeight="1" thickBot="1" x14ac:dyDescent="0.25">
      <c r="A28" s="26" t="str">
        <f t="shared" si="0"/>
        <v> MVS 68 </v>
      </c>
      <c r="B28" s="5" t="str">
        <f t="shared" si="1"/>
        <v>I</v>
      </c>
      <c r="C28" s="26">
        <f t="shared" si="2"/>
        <v>27060.329000000002</v>
      </c>
      <c r="D28" s="13" t="str">
        <f t="shared" si="3"/>
        <v>vis</v>
      </c>
      <c r="E28" s="36">
        <f>VLOOKUP(C28,Active!C$21:E$973,3,FALSE)</f>
        <v>2225.0546056659823</v>
      </c>
      <c r="F28" s="5" t="s">
        <v>49</v>
      </c>
      <c r="G28" s="13" t="str">
        <f t="shared" si="4"/>
        <v>27060.329</v>
      </c>
      <c r="H28" s="26">
        <f t="shared" si="5"/>
        <v>-4701</v>
      </c>
      <c r="I28" s="37" t="s">
        <v>102</v>
      </c>
      <c r="J28" s="38" t="s">
        <v>103</v>
      </c>
      <c r="K28" s="37">
        <v>-4701</v>
      </c>
      <c r="L28" s="37" t="s">
        <v>104</v>
      </c>
      <c r="M28" s="38" t="s">
        <v>55</v>
      </c>
      <c r="N28" s="38"/>
      <c r="O28" s="39" t="s">
        <v>105</v>
      </c>
      <c r="P28" s="39" t="s">
        <v>106</v>
      </c>
    </row>
    <row r="29" spans="1:16" ht="12.75" customHeight="1" thickBot="1" x14ac:dyDescent="0.25">
      <c r="A29" s="26" t="str">
        <f t="shared" si="0"/>
        <v> MVS 48 </v>
      </c>
      <c r="B29" s="5" t="str">
        <f t="shared" si="1"/>
        <v>I</v>
      </c>
      <c r="C29" s="26">
        <f t="shared" si="2"/>
        <v>27368.45</v>
      </c>
      <c r="D29" s="13" t="str">
        <f t="shared" si="3"/>
        <v>vis</v>
      </c>
      <c r="E29" s="36">
        <f>VLOOKUP(C29,Active!C$21:E$973,3,FALSE)</f>
        <v>2281.9828831422119</v>
      </c>
      <c r="F29" s="5" t="s">
        <v>49</v>
      </c>
      <c r="G29" s="13" t="str">
        <f t="shared" si="4"/>
        <v>27368.450</v>
      </c>
      <c r="H29" s="26">
        <f t="shared" si="5"/>
        <v>-4644</v>
      </c>
      <c r="I29" s="37" t="s">
        <v>107</v>
      </c>
      <c r="J29" s="38" t="s">
        <v>108</v>
      </c>
      <c r="K29" s="37">
        <v>-4644</v>
      </c>
      <c r="L29" s="37" t="s">
        <v>109</v>
      </c>
      <c r="M29" s="38" t="s">
        <v>55</v>
      </c>
      <c r="N29" s="38"/>
      <c r="O29" s="39" t="s">
        <v>75</v>
      </c>
      <c r="P29" s="39" t="s">
        <v>76</v>
      </c>
    </row>
    <row r="30" spans="1:16" ht="12.75" customHeight="1" thickBot="1" x14ac:dyDescent="0.25">
      <c r="A30" s="26" t="str">
        <f t="shared" si="0"/>
        <v> MVS 68 </v>
      </c>
      <c r="B30" s="5" t="str">
        <f t="shared" si="1"/>
        <v>I</v>
      </c>
      <c r="C30" s="26">
        <f t="shared" si="2"/>
        <v>27688.602999999999</v>
      </c>
      <c r="D30" s="13" t="str">
        <f t="shared" si="3"/>
        <v>vis</v>
      </c>
      <c r="E30" s="36">
        <f>VLOOKUP(C30,Active!C$21:E$973,3,FALSE)</f>
        <v>2341.1341867497144</v>
      </c>
      <c r="F30" s="5" t="s">
        <v>49</v>
      </c>
      <c r="G30" s="13" t="str">
        <f t="shared" si="4"/>
        <v>27688.603</v>
      </c>
      <c r="H30" s="26">
        <f t="shared" si="5"/>
        <v>-4585</v>
      </c>
      <c r="I30" s="37" t="s">
        <v>110</v>
      </c>
      <c r="J30" s="38" t="s">
        <v>111</v>
      </c>
      <c r="K30" s="37">
        <v>-4585</v>
      </c>
      <c r="L30" s="37" t="s">
        <v>112</v>
      </c>
      <c r="M30" s="38" t="s">
        <v>55</v>
      </c>
      <c r="N30" s="38"/>
      <c r="O30" s="39" t="s">
        <v>105</v>
      </c>
      <c r="P30" s="39" t="s">
        <v>106</v>
      </c>
    </row>
    <row r="31" spans="1:16" ht="12.75" customHeight="1" thickBot="1" x14ac:dyDescent="0.25">
      <c r="A31" s="26" t="str">
        <f t="shared" si="0"/>
        <v> MVS 48 </v>
      </c>
      <c r="B31" s="5" t="str">
        <f t="shared" si="1"/>
        <v>I</v>
      </c>
      <c r="C31" s="26">
        <f t="shared" si="2"/>
        <v>27698.577000000001</v>
      </c>
      <c r="D31" s="13" t="str">
        <f t="shared" si="3"/>
        <v>vis</v>
      </c>
      <c r="E31" s="36">
        <f>VLOOKUP(C31,Active!C$21:E$973,3,FALSE)</f>
        <v>2342.9769778595319</v>
      </c>
      <c r="F31" s="5" t="s">
        <v>49</v>
      </c>
      <c r="G31" s="13" t="str">
        <f t="shared" si="4"/>
        <v>27698.577</v>
      </c>
      <c r="H31" s="26">
        <f t="shared" si="5"/>
        <v>-4583</v>
      </c>
      <c r="I31" s="37" t="s">
        <v>113</v>
      </c>
      <c r="J31" s="38" t="s">
        <v>114</v>
      </c>
      <c r="K31" s="37">
        <v>-4583</v>
      </c>
      <c r="L31" s="37" t="s">
        <v>115</v>
      </c>
      <c r="M31" s="38" t="s">
        <v>55</v>
      </c>
      <c r="N31" s="38"/>
      <c r="O31" s="39" t="s">
        <v>75</v>
      </c>
      <c r="P31" s="39" t="s">
        <v>76</v>
      </c>
    </row>
    <row r="32" spans="1:16" ht="12.75" customHeight="1" thickBot="1" x14ac:dyDescent="0.25">
      <c r="A32" s="26" t="str">
        <f t="shared" si="0"/>
        <v> MVS 68 </v>
      </c>
      <c r="B32" s="5" t="str">
        <f t="shared" si="1"/>
        <v>I</v>
      </c>
      <c r="C32" s="26">
        <f t="shared" si="2"/>
        <v>27698.579000000002</v>
      </c>
      <c r="D32" s="13" t="str">
        <f t="shared" si="3"/>
        <v>vis</v>
      </c>
      <c r="E32" s="36">
        <f>VLOOKUP(C32,Active!C$21:E$973,3,FALSE)</f>
        <v>2342.9773473785031</v>
      </c>
      <c r="F32" s="5" t="s">
        <v>49</v>
      </c>
      <c r="G32" s="13" t="str">
        <f t="shared" si="4"/>
        <v>27698.579</v>
      </c>
      <c r="H32" s="26">
        <f t="shared" si="5"/>
        <v>-4583</v>
      </c>
      <c r="I32" s="37" t="s">
        <v>116</v>
      </c>
      <c r="J32" s="38" t="s">
        <v>117</v>
      </c>
      <c r="K32" s="37">
        <v>-4583</v>
      </c>
      <c r="L32" s="37" t="s">
        <v>118</v>
      </c>
      <c r="M32" s="38" t="s">
        <v>55</v>
      </c>
      <c r="N32" s="38"/>
      <c r="O32" s="39" t="s">
        <v>105</v>
      </c>
      <c r="P32" s="39" t="s">
        <v>106</v>
      </c>
    </row>
    <row r="33" spans="1:16" ht="12.75" customHeight="1" thickBot="1" x14ac:dyDescent="0.25">
      <c r="A33" s="26" t="str">
        <f t="shared" si="0"/>
        <v> PZ 8.351 </v>
      </c>
      <c r="B33" s="5" t="str">
        <f t="shared" si="1"/>
        <v>I</v>
      </c>
      <c r="C33" s="26">
        <f t="shared" si="2"/>
        <v>28597.32</v>
      </c>
      <c r="D33" s="13" t="str">
        <f t="shared" si="3"/>
        <v>vis</v>
      </c>
      <c r="E33" s="36">
        <f>VLOOKUP(C33,Active!C$21:E$973,3,FALSE)</f>
        <v>2509.0282722660118</v>
      </c>
      <c r="F33" s="5" t="s">
        <v>49</v>
      </c>
      <c r="G33" s="13" t="str">
        <f t="shared" si="4"/>
        <v>28597.32</v>
      </c>
      <c r="H33" s="26">
        <f t="shared" si="5"/>
        <v>-4417</v>
      </c>
      <c r="I33" s="37" t="s">
        <v>119</v>
      </c>
      <c r="J33" s="38" t="s">
        <v>120</v>
      </c>
      <c r="K33" s="37">
        <v>-4417</v>
      </c>
      <c r="L33" s="37" t="s">
        <v>121</v>
      </c>
      <c r="M33" s="38" t="s">
        <v>51</v>
      </c>
      <c r="N33" s="38"/>
      <c r="O33" s="39" t="s">
        <v>122</v>
      </c>
      <c r="P33" s="39" t="s">
        <v>123</v>
      </c>
    </row>
    <row r="34" spans="1:16" ht="12.75" customHeight="1" thickBot="1" x14ac:dyDescent="0.25">
      <c r="A34" s="26" t="str">
        <f t="shared" si="0"/>
        <v> MVS 475 </v>
      </c>
      <c r="B34" s="5" t="str">
        <f t="shared" si="1"/>
        <v>I</v>
      </c>
      <c r="C34" s="26">
        <f t="shared" si="2"/>
        <v>28835.46</v>
      </c>
      <c r="D34" s="13" t="str">
        <f t="shared" si="3"/>
        <v>vis</v>
      </c>
      <c r="E34" s="36">
        <f>VLOOKUP(C34,Active!C$21:E$973,3,FALSE)</f>
        <v>2553.0268961773627</v>
      </c>
      <c r="F34" s="5" t="s">
        <v>49</v>
      </c>
      <c r="G34" s="13" t="str">
        <f t="shared" si="4"/>
        <v>28835.46</v>
      </c>
      <c r="H34" s="26">
        <f t="shared" si="5"/>
        <v>-4373</v>
      </c>
      <c r="I34" s="37" t="s">
        <v>124</v>
      </c>
      <c r="J34" s="38" t="s">
        <v>125</v>
      </c>
      <c r="K34" s="37">
        <v>-4373</v>
      </c>
      <c r="L34" s="37" t="s">
        <v>126</v>
      </c>
      <c r="M34" s="38" t="s">
        <v>55</v>
      </c>
      <c r="N34" s="38"/>
      <c r="O34" s="39" t="s">
        <v>127</v>
      </c>
      <c r="P34" s="39" t="s">
        <v>95</v>
      </c>
    </row>
    <row r="35" spans="1:16" ht="12.75" customHeight="1" thickBot="1" x14ac:dyDescent="0.25">
      <c r="A35" s="26" t="str">
        <f t="shared" si="0"/>
        <v> MVS 475 </v>
      </c>
      <c r="B35" s="5" t="str">
        <f t="shared" si="1"/>
        <v>I</v>
      </c>
      <c r="C35" s="26">
        <f t="shared" si="2"/>
        <v>28954.35</v>
      </c>
      <c r="D35" s="13" t="str">
        <f t="shared" si="3"/>
        <v>vis</v>
      </c>
      <c r="E35" s="36">
        <f>VLOOKUP(C35,Active!C$21:E$973,3,FALSE)</f>
        <v>2574.9929514256223</v>
      </c>
      <c r="F35" s="5" t="s">
        <v>49</v>
      </c>
      <c r="G35" s="13" t="str">
        <f t="shared" si="4"/>
        <v>28954.35</v>
      </c>
      <c r="H35" s="26">
        <f t="shared" si="5"/>
        <v>-4351</v>
      </c>
      <c r="I35" s="37" t="s">
        <v>128</v>
      </c>
      <c r="J35" s="38" t="s">
        <v>129</v>
      </c>
      <c r="K35" s="37">
        <v>-4351</v>
      </c>
      <c r="L35" s="37" t="s">
        <v>130</v>
      </c>
      <c r="M35" s="38" t="s">
        <v>55</v>
      </c>
      <c r="N35" s="38"/>
      <c r="O35" s="39" t="s">
        <v>127</v>
      </c>
      <c r="P35" s="39" t="s">
        <v>95</v>
      </c>
    </row>
    <row r="36" spans="1:16" ht="12.75" customHeight="1" thickBot="1" x14ac:dyDescent="0.25">
      <c r="A36" s="26" t="str">
        <f t="shared" si="0"/>
        <v> MVS 475 </v>
      </c>
      <c r="B36" s="5" t="str">
        <f t="shared" si="1"/>
        <v>I</v>
      </c>
      <c r="C36" s="26">
        <f t="shared" si="2"/>
        <v>29165.601999999999</v>
      </c>
      <c r="D36" s="13" t="str">
        <f t="shared" si="3"/>
        <v>vis</v>
      </c>
      <c r="E36" s="36">
        <f>VLOOKUP(C36,Active!C$21:E$973,3,FALSE)</f>
        <v>2614.0237622869672</v>
      </c>
      <c r="F36" s="5" t="s">
        <v>49</v>
      </c>
      <c r="G36" s="13" t="str">
        <f t="shared" si="4"/>
        <v>29165.602</v>
      </c>
      <c r="H36" s="26">
        <f t="shared" si="5"/>
        <v>-4312</v>
      </c>
      <c r="I36" s="37" t="s">
        <v>131</v>
      </c>
      <c r="J36" s="38" t="s">
        <v>132</v>
      </c>
      <c r="K36" s="37">
        <v>-4312</v>
      </c>
      <c r="L36" s="37" t="s">
        <v>133</v>
      </c>
      <c r="M36" s="38" t="s">
        <v>55</v>
      </c>
      <c r="N36" s="38"/>
      <c r="O36" s="39" t="s">
        <v>127</v>
      </c>
      <c r="P36" s="39" t="s">
        <v>95</v>
      </c>
    </row>
    <row r="37" spans="1:16" ht="12.75" customHeight="1" thickBot="1" x14ac:dyDescent="0.25">
      <c r="A37" s="26" t="str">
        <f t="shared" si="0"/>
        <v> PZ 8.351 </v>
      </c>
      <c r="B37" s="5" t="str">
        <f t="shared" si="1"/>
        <v>I</v>
      </c>
      <c r="C37" s="26">
        <f t="shared" si="2"/>
        <v>29306.400000000001</v>
      </c>
      <c r="D37" s="13" t="str">
        <f t="shared" si="3"/>
        <v>vis</v>
      </c>
      <c r="E37" s="36">
        <f>VLOOKUP(C37,Active!C$21:E$973,3,FALSE)</f>
        <v>2640.0375283467242</v>
      </c>
      <c r="F37" s="5" t="s">
        <v>49</v>
      </c>
      <c r="G37" s="13" t="str">
        <f t="shared" si="4"/>
        <v>29306.40</v>
      </c>
      <c r="H37" s="26">
        <f t="shared" si="5"/>
        <v>-4286</v>
      </c>
      <c r="I37" s="37" t="s">
        <v>134</v>
      </c>
      <c r="J37" s="38" t="s">
        <v>135</v>
      </c>
      <c r="K37" s="37">
        <v>-4286</v>
      </c>
      <c r="L37" s="37" t="s">
        <v>136</v>
      </c>
      <c r="M37" s="38" t="s">
        <v>51</v>
      </c>
      <c r="N37" s="38"/>
      <c r="O37" s="39" t="s">
        <v>122</v>
      </c>
      <c r="P37" s="39" t="s">
        <v>123</v>
      </c>
    </row>
    <row r="38" spans="1:16" ht="12.75" customHeight="1" thickBot="1" x14ac:dyDescent="0.25">
      <c r="A38" s="26" t="str">
        <f t="shared" si="0"/>
        <v> MVS 475 </v>
      </c>
      <c r="B38" s="5" t="str">
        <f t="shared" si="1"/>
        <v>I</v>
      </c>
      <c r="C38" s="26">
        <f t="shared" si="2"/>
        <v>30069.319</v>
      </c>
      <c r="D38" s="13" t="str">
        <f t="shared" si="3"/>
        <v>vis</v>
      </c>
      <c r="E38" s="36">
        <f>VLOOKUP(C38,Active!C$21:E$973,3,FALSE)</f>
        <v>2780.9940503750431</v>
      </c>
      <c r="F38" s="5" t="s">
        <v>49</v>
      </c>
      <c r="G38" s="13" t="str">
        <f t="shared" si="4"/>
        <v>30069.319</v>
      </c>
      <c r="H38" s="26">
        <f t="shared" si="5"/>
        <v>-4145</v>
      </c>
      <c r="I38" s="37" t="s">
        <v>137</v>
      </c>
      <c r="J38" s="38" t="s">
        <v>138</v>
      </c>
      <c r="K38" s="37">
        <v>-4145</v>
      </c>
      <c r="L38" s="37" t="s">
        <v>139</v>
      </c>
      <c r="M38" s="38" t="s">
        <v>55</v>
      </c>
      <c r="N38" s="38"/>
      <c r="O38" s="39" t="s">
        <v>127</v>
      </c>
      <c r="P38" s="39" t="s">
        <v>95</v>
      </c>
    </row>
    <row r="39" spans="1:16" ht="12.75" customHeight="1" thickBot="1" x14ac:dyDescent="0.25">
      <c r="A39" s="26" t="str">
        <f t="shared" si="0"/>
        <v> MVS 48 </v>
      </c>
      <c r="B39" s="5" t="str">
        <f t="shared" si="1"/>
        <v>I</v>
      </c>
      <c r="C39" s="26">
        <f t="shared" si="2"/>
        <v>30789.331999999999</v>
      </c>
      <c r="D39" s="13" t="str">
        <f t="shared" si="3"/>
        <v>vis</v>
      </c>
      <c r="E39" s="36">
        <f>VLOOKUP(C39,Active!C$21:E$973,3,FALSE)</f>
        <v>2914.0232819123044</v>
      </c>
      <c r="F39" s="5" t="s">
        <v>49</v>
      </c>
      <c r="G39" s="13" t="str">
        <f t="shared" si="4"/>
        <v>30789.332</v>
      </c>
      <c r="H39" s="26">
        <f t="shared" si="5"/>
        <v>-4012</v>
      </c>
      <c r="I39" s="37" t="s">
        <v>140</v>
      </c>
      <c r="J39" s="38" t="s">
        <v>141</v>
      </c>
      <c r="K39" s="37">
        <v>-4012</v>
      </c>
      <c r="L39" s="37" t="s">
        <v>142</v>
      </c>
      <c r="M39" s="38" t="s">
        <v>55</v>
      </c>
      <c r="N39" s="38"/>
      <c r="O39" s="39" t="s">
        <v>75</v>
      </c>
      <c r="P39" s="39" t="s">
        <v>76</v>
      </c>
    </row>
    <row r="40" spans="1:16" ht="12.75" customHeight="1" thickBot="1" x14ac:dyDescent="0.25">
      <c r="A40" s="26" t="str">
        <f t="shared" si="0"/>
        <v> MVS 475 </v>
      </c>
      <c r="B40" s="5" t="str">
        <f t="shared" si="1"/>
        <v>I</v>
      </c>
      <c r="C40" s="26">
        <f t="shared" si="2"/>
        <v>35476.43</v>
      </c>
      <c r="D40" s="13" t="str">
        <f t="shared" si="3"/>
        <v>vis</v>
      </c>
      <c r="E40" s="36">
        <f>VLOOKUP(C40,Active!C$21:E$973,3,FALSE)</f>
        <v>3780.0090975570733</v>
      </c>
      <c r="F40" s="5" t="s">
        <v>49</v>
      </c>
      <c r="G40" s="13" t="str">
        <f t="shared" si="4"/>
        <v>35476.43</v>
      </c>
      <c r="H40" s="26">
        <f t="shared" si="5"/>
        <v>-3146</v>
      </c>
      <c r="I40" s="37" t="s">
        <v>143</v>
      </c>
      <c r="J40" s="38" t="s">
        <v>144</v>
      </c>
      <c r="K40" s="37">
        <v>-3146</v>
      </c>
      <c r="L40" s="37" t="s">
        <v>145</v>
      </c>
      <c r="M40" s="38" t="s">
        <v>55</v>
      </c>
      <c r="N40" s="38"/>
      <c r="O40" s="39" t="s">
        <v>127</v>
      </c>
      <c r="P40" s="39" t="s">
        <v>95</v>
      </c>
    </row>
    <row r="41" spans="1:16" ht="12.75" customHeight="1" thickBot="1" x14ac:dyDescent="0.25">
      <c r="A41" s="26" t="str">
        <f t="shared" si="0"/>
        <v> MVS 475 </v>
      </c>
      <c r="B41" s="5" t="str">
        <f t="shared" si="1"/>
        <v>I</v>
      </c>
      <c r="C41" s="26">
        <f t="shared" si="2"/>
        <v>36163.53</v>
      </c>
      <c r="D41" s="13" t="str">
        <f t="shared" si="3"/>
        <v>vis</v>
      </c>
      <c r="E41" s="36">
        <f>VLOOKUP(C41,Active!C$21:E$973,3,FALSE)</f>
        <v>3906.9573401433213</v>
      </c>
      <c r="F41" s="5" t="s">
        <v>49</v>
      </c>
      <c r="G41" s="13" t="str">
        <f t="shared" si="4"/>
        <v>36163.53</v>
      </c>
      <c r="H41" s="26">
        <f t="shared" si="5"/>
        <v>-3019</v>
      </c>
      <c r="I41" s="37" t="s">
        <v>146</v>
      </c>
      <c r="J41" s="38" t="s">
        <v>147</v>
      </c>
      <c r="K41" s="37">
        <v>-3019</v>
      </c>
      <c r="L41" s="37" t="s">
        <v>148</v>
      </c>
      <c r="M41" s="38" t="s">
        <v>55</v>
      </c>
      <c r="N41" s="38"/>
      <c r="O41" s="39" t="s">
        <v>127</v>
      </c>
      <c r="P41" s="39" t="s">
        <v>95</v>
      </c>
    </row>
    <row r="42" spans="1:16" ht="12.75" customHeight="1" thickBot="1" x14ac:dyDescent="0.25">
      <c r="A42" s="26" t="str">
        <f t="shared" si="0"/>
        <v> MVS 475 </v>
      </c>
      <c r="B42" s="5" t="str">
        <f t="shared" si="1"/>
        <v>I</v>
      </c>
      <c r="C42" s="26">
        <f t="shared" si="2"/>
        <v>36461.578999999998</v>
      </c>
      <c r="D42" s="13" t="str">
        <f t="shared" si="3"/>
        <v>vis</v>
      </c>
      <c r="E42" s="36">
        <f>VLOOKUP(C42,Active!C$21:E$973,3,FALSE)</f>
        <v>3962.0247200801409</v>
      </c>
      <c r="F42" s="5" t="s">
        <v>49</v>
      </c>
      <c r="G42" s="13" t="str">
        <f t="shared" si="4"/>
        <v>36461.579</v>
      </c>
      <c r="H42" s="26">
        <f t="shared" si="5"/>
        <v>-2964</v>
      </c>
      <c r="I42" s="37" t="s">
        <v>149</v>
      </c>
      <c r="J42" s="38" t="s">
        <v>150</v>
      </c>
      <c r="K42" s="37">
        <v>-2964</v>
      </c>
      <c r="L42" s="37" t="s">
        <v>151</v>
      </c>
      <c r="M42" s="38" t="s">
        <v>55</v>
      </c>
      <c r="N42" s="38"/>
      <c r="O42" s="39" t="s">
        <v>127</v>
      </c>
      <c r="P42" s="39" t="s">
        <v>95</v>
      </c>
    </row>
    <row r="43" spans="1:16" ht="12.75" customHeight="1" thickBot="1" x14ac:dyDescent="0.25">
      <c r="A43" s="26" t="str">
        <f t="shared" si="0"/>
        <v> MVS 475 </v>
      </c>
      <c r="B43" s="5" t="str">
        <f t="shared" si="1"/>
        <v>I</v>
      </c>
      <c r="C43" s="26">
        <f t="shared" si="2"/>
        <v>36607.47</v>
      </c>
      <c r="D43" s="13" t="str">
        <f t="shared" si="3"/>
        <v>vis</v>
      </c>
      <c r="E43" s="36">
        <f>VLOOKUP(C43,Active!C$21:E$973,3,FALSE)</f>
        <v>3988.9794662002846</v>
      </c>
      <c r="F43" s="5" t="s">
        <v>49</v>
      </c>
      <c r="G43" s="13" t="str">
        <f t="shared" si="4"/>
        <v>36607.47</v>
      </c>
      <c r="H43" s="26">
        <f t="shared" si="5"/>
        <v>-2937</v>
      </c>
      <c r="I43" s="37" t="s">
        <v>152</v>
      </c>
      <c r="J43" s="38" t="s">
        <v>153</v>
      </c>
      <c r="K43" s="37">
        <v>-2937</v>
      </c>
      <c r="L43" s="37" t="s">
        <v>154</v>
      </c>
      <c r="M43" s="38" t="s">
        <v>55</v>
      </c>
      <c r="N43" s="38"/>
      <c r="O43" s="39" t="s">
        <v>127</v>
      </c>
      <c r="P43" s="39" t="s">
        <v>95</v>
      </c>
    </row>
    <row r="44" spans="1:16" ht="12.75" customHeight="1" thickBot="1" x14ac:dyDescent="0.25">
      <c r="A44" s="26" t="str">
        <f t="shared" si="0"/>
        <v> BBS 123 </v>
      </c>
      <c r="B44" s="5" t="str">
        <f t="shared" si="1"/>
        <v>I</v>
      </c>
      <c r="C44" s="26">
        <f t="shared" si="2"/>
        <v>50836.546000000002</v>
      </c>
      <c r="D44" s="13" t="str">
        <f t="shared" si="3"/>
        <v>vis</v>
      </c>
      <c r="E44" s="36">
        <f>VLOOKUP(C44,Active!C$21:E$973,3,FALSE)</f>
        <v>6617.9362291549733</v>
      </c>
      <c r="F44" s="5" t="s">
        <v>49</v>
      </c>
      <c r="G44" s="13" t="str">
        <f t="shared" si="4"/>
        <v>50836.546</v>
      </c>
      <c r="H44" s="26">
        <f t="shared" si="5"/>
        <v>-308</v>
      </c>
      <c r="I44" s="37" t="s">
        <v>172</v>
      </c>
      <c r="J44" s="38" t="s">
        <v>173</v>
      </c>
      <c r="K44" s="37">
        <v>-308</v>
      </c>
      <c r="L44" s="37" t="s">
        <v>174</v>
      </c>
      <c r="M44" s="38" t="s">
        <v>80</v>
      </c>
      <c r="N44" s="38"/>
      <c r="O44" s="39" t="s">
        <v>175</v>
      </c>
      <c r="P44" s="39" t="s">
        <v>176</v>
      </c>
    </row>
    <row r="45" spans="1:16" ht="12.75" customHeight="1" thickBot="1" x14ac:dyDescent="0.25">
      <c r="A45" s="26" t="str">
        <f t="shared" si="0"/>
        <v> BBS 123 </v>
      </c>
      <c r="B45" s="5" t="str">
        <f t="shared" si="1"/>
        <v>I</v>
      </c>
      <c r="C45" s="26">
        <f t="shared" si="2"/>
        <v>51139.648000000001</v>
      </c>
      <c r="D45" s="13" t="str">
        <f t="shared" si="3"/>
        <v>vis</v>
      </c>
      <c r="E45" s="36">
        <f>VLOOKUP(C45,Active!C$21:E$973,3,FALSE)</f>
        <v>6673.9371987727536</v>
      </c>
      <c r="F45" s="5" t="s">
        <v>49</v>
      </c>
      <c r="G45" s="13" t="str">
        <f t="shared" si="4"/>
        <v>51139.648</v>
      </c>
      <c r="H45" s="26">
        <f t="shared" si="5"/>
        <v>-252</v>
      </c>
      <c r="I45" s="37" t="s">
        <v>177</v>
      </c>
      <c r="J45" s="38" t="s">
        <v>178</v>
      </c>
      <c r="K45" s="37">
        <v>-252</v>
      </c>
      <c r="L45" s="37" t="s">
        <v>179</v>
      </c>
      <c r="M45" s="38" t="s">
        <v>80</v>
      </c>
      <c r="N45" s="38"/>
      <c r="O45" s="39" t="s">
        <v>175</v>
      </c>
      <c r="P45" s="39" t="s">
        <v>176</v>
      </c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</sheetData>
  <phoneticPr fontId="8" type="noConversion"/>
  <hyperlinks>
    <hyperlink ref="A3" r:id="rId1"/>
    <hyperlink ref="P16" r:id="rId2" display="http://www.bav-astro.de/sfs/BAVM_link.php?BAVMnr=186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2024-01-15T03:56:42Z</dcterms:modified>
</cp:coreProperties>
</file>