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889551-A46F-4843-91B6-186FC3684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Q63" i="1"/>
  <c r="E64" i="1"/>
  <c r="F64" i="1" s="1"/>
  <c r="G64" i="1" s="1"/>
  <c r="Q64" i="1"/>
  <c r="Q61" i="1"/>
  <c r="Q62" i="1"/>
  <c r="C13" i="1"/>
  <c r="Q60" i="1"/>
  <c r="Q21" i="1"/>
  <c r="Q26" i="1"/>
  <c r="Q42" i="1"/>
  <c r="Q54" i="1"/>
  <c r="Q58" i="1"/>
  <c r="G45" i="2"/>
  <c r="C45" i="2"/>
  <c r="G40" i="2"/>
  <c r="C40" i="2"/>
  <c r="G39" i="2"/>
  <c r="C39" i="2"/>
  <c r="G44" i="2"/>
  <c r="C44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3" i="2"/>
  <c r="C43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2" i="2"/>
  <c r="C42" i="2"/>
  <c r="G13" i="2"/>
  <c r="C13" i="2"/>
  <c r="G12" i="2"/>
  <c r="C12" i="2"/>
  <c r="G11" i="2"/>
  <c r="C11" i="2"/>
  <c r="G41" i="2"/>
  <c r="C41" i="2"/>
  <c r="H45" i="2"/>
  <c r="B45" i="2"/>
  <c r="D45" i="2"/>
  <c r="A45" i="2"/>
  <c r="H40" i="2"/>
  <c r="B40" i="2"/>
  <c r="D40" i="2"/>
  <c r="A40" i="2"/>
  <c r="H39" i="2"/>
  <c r="B39" i="2"/>
  <c r="D39" i="2"/>
  <c r="A39" i="2"/>
  <c r="H44" i="2"/>
  <c r="B44" i="2"/>
  <c r="D44" i="2"/>
  <c r="A44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3" i="2"/>
  <c r="B43" i="2"/>
  <c r="D43" i="2"/>
  <c r="A43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2" i="2"/>
  <c r="B42" i="2"/>
  <c r="D42" i="2"/>
  <c r="A42" i="2"/>
  <c r="H13" i="2"/>
  <c r="B13" i="2"/>
  <c r="D13" i="2"/>
  <c r="A13" i="2"/>
  <c r="H12" i="2"/>
  <c r="B12" i="2"/>
  <c r="D12" i="2"/>
  <c r="A12" i="2"/>
  <c r="H11" i="2"/>
  <c r="B11" i="2"/>
  <c r="D11" i="2"/>
  <c r="A11" i="2"/>
  <c r="H41" i="2"/>
  <c r="B41" i="2"/>
  <c r="D41" i="2"/>
  <c r="A41" i="2"/>
  <c r="Q59" i="1"/>
  <c r="Q37" i="1"/>
  <c r="Q57" i="1"/>
  <c r="Q32" i="1"/>
  <c r="Q34" i="1"/>
  <c r="Q35" i="1"/>
  <c r="Q36" i="1"/>
  <c r="Q27" i="1"/>
  <c r="Q30" i="1"/>
  <c r="Q22" i="1"/>
  <c r="Q23" i="1"/>
  <c r="Q24" i="1"/>
  <c r="Q25" i="1"/>
  <c r="Q28" i="1"/>
  <c r="Q29" i="1"/>
  <c r="Q33" i="1"/>
  <c r="Q38" i="1"/>
  <c r="Q39" i="1"/>
  <c r="Q40" i="1"/>
  <c r="Q44" i="1"/>
  <c r="Q41" i="1"/>
  <c r="Q56" i="1"/>
  <c r="Q55" i="1"/>
  <c r="Q43" i="1"/>
  <c r="Q45" i="1"/>
  <c r="Q46" i="1"/>
  <c r="Q47" i="1"/>
  <c r="Q48" i="1"/>
  <c r="Q49" i="1"/>
  <c r="Q50" i="1"/>
  <c r="Q51" i="1"/>
  <c r="Q52" i="1"/>
  <c r="Q53" i="1"/>
  <c r="C7" i="1"/>
  <c r="E61" i="1"/>
  <c r="F61" i="1"/>
  <c r="C8" i="1"/>
  <c r="F12" i="1"/>
  <c r="F13" i="1" s="1"/>
  <c r="D14" i="1"/>
  <c r="D13" i="1"/>
  <c r="C14" i="1"/>
  <c r="C17" i="1"/>
  <c r="Q31" i="1"/>
  <c r="E41" i="2"/>
  <c r="E32" i="2"/>
  <c r="E20" i="2"/>
  <c r="E13" i="2"/>
  <c r="E17" i="2"/>
  <c r="E29" i="2"/>
  <c r="E42" i="2"/>
  <c r="E40" i="2"/>
  <c r="E26" i="2"/>
  <c r="G62" i="1"/>
  <c r="E50" i="1"/>
  <c r="F50" i="1"/>
  <c r="E33" i="1"/>
  <c r="F33" i="1"/>
  <c r="G33" i="1"/>
  <c r="E55" i="1"/>
  <c r="F55" i="1"/>
  <c r="E52" i="1"/>
  <c r="F52" i="1"/>
  <c r="E47" i="1"/>
  <c r="F47" i="1"/>
  <c r="E45" i="1"/>
  <c r="F45" i="1"/>
  <c r="E59" i="1"/>
  <c r="F59" i="1"/>
  <c r="E44" i="1"/>
  <c r="F44" i="1"/>
  <c r="E39" i="1"/>
  <c r="F39" i="1"/>
  <c r="G39" i="1"/>
  <c r="E29" i="1"/>
  <c r="F29" i="1"/>
  <c r="G29" i="1"/>
  <c r="E25" i="1"/>
  <c r="F25" i="1"/>
  <c r="E23" i="1"/>
  <c r="F23" i="1"/>
  <c r="E30" i="1"/>
  <c r="F30" i="1"/>
  <c r="E36" i="1"/>
  <c r="F36" i="1"/>
  <c r="E34" i="1"/>
  <c r="F34" i="1"/>
  <c r="E31" i="1"/>
  <c r="F31" i="1"/>
  <c r="E58" i="1"/>
  <c r="F58" i="1"/>
  <c r="G58" i="1"/>
  <c r="E42" i="1"/>
  <c r="F42" i="1"/>
  <c r="G42" i="1"/>
  <c r="E21" i="1"/>
  <c r="F21" i="1"/>
  <c r="G21" i="1"/>
  <c r="E60" i="1"/>
  <c r="F60" i="1"/>
  <c r="G60" i="1"/>
  <c r="E62" i="1"/>
  <c r="F62" i="1"/>
  <c r="E49" i="1"/>
  <c r="F49" i="1"/>
  <c r="G49" i="1"/>
  <c r="G57" i="1"/>
  <c r="G51" i="1"/>
  <c r="G40" i="1"/>
  <c r="G38" i="1"/>
  <c r="G28" i="1"/>
  <c r="G22" i="1"/>
  <c r="G37" i="1"/>
  <c r="G54" i="1"/>
  <c r="G26" i="1"/>
  <c r="E48" i="1"/>
  <c r="F48" i="1"/>
  <c r="G48" i="1"/>
  <c r="E57" i="1"/>
  <c r="F57" i="1"/>
  <c r="E53" i="1"/>
  <c r="F53" i="1"/>
  <c r="G53" i="1"/>
  <c r="E51" i="1"/>
  <c r="F51" i="1"/>
  <c r="E46" i="1"/>
  <c r="F46" i="1"/>
  <c r="G46" i="1"/>
  <c r="E43" i="1"/>
  <c r="F43" i="1"/>
  <c r="G43" i="1"/>
  <c r="E56" i="1"/>
  <c r="F56" i="1"/>
  <c r="G56" i="1"/>
  <c r="E40" i="1"/>
  <c r="F40" i="1"/>
  <c r="E38" i="1"/>
  <c r="F38" i="1"/>
  <c r="E28" i="1"/>
  <c r="F28" i="1"/>
  <c r="E24" i="1"/>
  <c r="F24" i="1"/>
  <c r="G24" i="1"/>
  <c r="E22" i="1"/>
  <c r="F22" i="1"/>
  <c r="E27" i="1"/>
  <c r="F27" i="1"/>
  <c r="G27" i="1"/>
  <c r="E35" i="1"/>
  <c r="F35" i="1"/>
  <c r="G35" i="1"/>
  <c r="E32" i="1"/>
  <c r="F32" i="1"/>
  <c r="G32" i="1"/>
  <c r="E37" i="1"/>
  <c r="F37" i="1"/>
  <c r="E54" i="1"/>
  <c r="F54" i="1"/>
  <c r="E26" i="1"/>
  <c r="F26" i="1"/>
  <c r="G61" i="1"/>
  <c r="G50" i="1"/>
  <c r="E41" i="1"/>
  <c r="F41" i="1"/>
  <c r="G41" i="1"/>
  <c r="G55" i="1"/>
  <c r="G52" i="1"/>
  <c r="G47" i="1"/>
  <c r="G45" i="1"/>
  <c r="G59" i="1"/>
  <c r="G44" i="1"/>
  <c r="G25" i="1"/>
  <c r="G23" i="1"/>
  <c r="G30" i="1"/>
  <c r="G36" i="1"/>
  <c r="G34" i="1"/>
  <c r="G31" i="1"/>
  <c r="R39" i="1"/>
  <c r="J39" i="1"/>
  <c r="S49" i="1"/>
  <c r="K49" i="1"/>
  <c r="R43" i="1"/>
  <c r="K43" i="1"/>
  <c r="K41" i="1"/>
  <c r="S41" i="1"/>
  <c r="R27" i="1"/>
  <c r="I27" i="1"/>
  <c r="R46" i="1"/>
  <c r="K46" i="1"/>
  <c r="S48" i="1"/>
  <c r="K48" i="1"/>
  <c r="R32" i="1"/>
  <c r="I32" i="1"/>
  <c r="I21" i="1"/>
  <c r="R21" i="1"/>
  <c r="R58" i="1"/>
  <c r="I58" i="1"/>
  <c r="R56" i="1"/>
  <c r="J56" i="1"/>
  <c r="R35" i="1"/>
  <c r="I35" i="1"/>
  <c r="K60" i="1"/>
  <c r="R60" i="1"/>
  <c r="R24" i="1"/>
  <c r="J24" i="1"/>
  <c r="K53" i="1"/>
  <c r="R53" i="1"/>
  <c r="R42" i="1"/>
  <c r="I42" i="1"/>
  <c r="R29" i="1"/>
  <c r="J29" i="1"/>
  <c r="S33" i="1"/>
  <c r="J33" i="1"/>
  <c r="R31" i="1"/>
  <c r="I31" i="1"/>
  <c r="R36" i="1"/>
  <c r="I36" i="1"/>
  <c r="R45" i="1"/>
  <c r="K45" i="1"/>
  <c r="R37" i="1"/>
  <c r="K37" i="1"/>
  <c r="K40" i="1"/>
  <c r="R40" i="1"/>
  <c r="R62" i="1"/>
  <c r="K62" i="1"/>
  <c r="E45" i="2"/>
  <c r="E18" i="2"/>
  <c r="E22" i="2"/>
  <c r="R30" i="1"/>
  <c r="I30" i="1"/>
  <c r="R47" i="1"/>
  <c r="K47" i="1"/>
  <c r="K61" i="1"/>
  <c r="R61" i="1"/>
  <c r="E36" i="2"/>
  <c r="E44" i="2"/>
  <c r="E16" i="2"/>
  <c r="R44" i="1"/>
  <c r="J44" i="1"/>
  <c r="S50" i="1"/>
  <c r="K50" i="1"/>
  <c r="R23" i="1"/>
  <c r="J23" i="1"/>
  <c r="E39" i="2"/>
  <c r="E11" i="2"/>
  <c r="E33" i="2"/>
  <c r="R25" i="1"/>
  <c r="J25" i="1"/>
  <c r="R55" i="1"/>
  <c r="K55" i="1"/>
  <c r="E19" i="2"/>
  <c r="E34" i="2"/>
  <c r="E12" i="2"/>
  <c r="E27" i="2"/>
  <c r="R28" i="1"/>
  <c r="J28" i="1"/>
  <c r="J38" i="1"/>
  <c r="R38" i="1"/>
  <c r="R26" i="1"/>
  <c r="I26" i="1"/>
  <c r="R34" i="1"/>
  <c r="I34" i="1"/>
  <c r="R52" i="1"/>
  <c r="K52" i="1"/>
  <c r="R22" i="1"/>
  <c r="I22" i="1"/>
  <c r="K51" i="1"/>
  <c r="R51" i="1"/>
  <c r="E37" i="2"/>
  <c r="E28" i="2"/>
  <c r="E25" i="2"/>
  <c r="E21" i="2"/>
  <c r="E31" i="2"/>
  <c r="E35" i="2"/>
  <c r="E23" i="2"/>
  <c r="E38" i="2"/>
  <c r="E15" i="2"/>
  <c r="K57" i="1"/>
  <c r="R57" i="1"/>
  <c r="R59" i="1"/>
  <c r="J59" i="1"/>
  <c r="R54" i="1"/>
  <c r="K54" i="1"/>
  <c r="E14" i="2"/>
  <c r="E24" i="2"/>
  <c r="E43" i="2"/>
  <c r="E30" i="2"/>
  <c r="S19" i="1"/>
  <c r="E19" i="1"/>
  <c r="D11" i="1"/>
  <c r="D12" i="1"/>
  <c r="P63" i="1" l="1"/>
  <c r="P64" i="1"/>
  <c r="R64" i="1"/>
  <c r="K64" i="1"/>
  <c r="K63" i="1"/>
  <c r="R63" i="1"/>
  <c r="P37" i="1"/>
  <c r="P39" i="1"/>
  <c r="P31" i="1"/>
  <c r="P58" i="1"/>
  <c r="P38" i="1"/>
  <c r="P53" i="1"/>
  <c r="P32" i="1"/>
  <c r="P59" i="1"/>
  <c r="P40" i="1"/>
  <c r="P61" i="1"/>
  <c r="P21" i="1"/>
  <c r="P42" i="1"/>
  <c r="P44" i="1"/>
  <c r="P57" i="1"/>
  <c r="P35" i="1"/>
  <c r="P56" i="1"/>
  <c r="D15" i="1"/>
  <c r="C19" i="1" s="1"/>
  <c r="P34" i="1"/>
  <c r="P41" i="1"/>
  <c r="P26" i="1"/>
  <c r="P46" i="1"/>
  <c r="P45" i="1"/>
  <c r="P24" i="1"/>
  <c r="P60" i="1"/>
  <c r="P28" i="1"/>
  <c r="P25" i="1"/>
  <c r="P52" i="1"/>
  <c r="P51" i="1"/>
  <c r="P27" i="1"/>
  <c r="P43" i="1"/>
  <c r="P36" i="1"/>
  <c r="P55" i="1"/>
  <c r="P54" i="1"/>
  <c r="P22" i="1"/>
  <c r="P30" i="1"/>
  <c r="P48" i="1"/>
  <c r="P47" i="1"/>
  <c r="P49" i="1"/>
  <c r="P33" i="1"/>
  <c r="P29" i="1"/>
  <c r="P62" i="1"/>
  <c r="P23" i="1"/>
  <c r="P50" i="1"/>
  <c r="D16" i="1"/>
  <c r="D19" i="1" s="1"/>
  <c r="C11" i="1"/>
  <c r="C12" i="1"/>
  <c r="O64" i="1" l="1"/>
  <c r="O63" i="1"/>
  <c r="C16" i="1"/>
  <c r="D18" i="1" s="1"/>
  <c r="R19" i="1"/>
  <c r="E18" i="1" s="1"/>
  <c r="O36" i="1"/>
  <c r="O29" i="1"/>
  <c r="O38" i="1"/>
  <c r="O23" i="1"/>
  <c r="O33" i="1"/>
  <c r="O56" i="1"/>
  <c r="O54" i="1"/>
  <c r="O59" i="1"/>
  <c r="O49" i="1"/>
  <c r="O31" i="1"/>
  <c r="O41" i="1"/>
  <c r="O47" i="1"/>
  <c r="O48" i="1"/>
  <c r="O46" i="1"/>
  <c r="O45" i="1"/>
  <c r="O28" i="1"/>
  <c r="O61" i="1"/>
  <c r="O37" i="1"/>
  <c r="O32" i="1"/>
  <c r="O25" i="1"/>
  <c r="O52" i="1"/>
  <c r="O55" i="1"/>
  <c r="O62" i="1"/>
  <c r="O26" i="1"/>
  <c r="O21" i="1"/>
  <c r="O51" i="1"/>
  <c r="O60" i="1"/>
  <c r="O57" i="1"/>
  <c r="O27" i="1"/>
  <c r="O44" i="1"/>
  <c r="O24" i="1"/>
  <c r="O58" i="1"/>
  <c r="C15" i="1"/>
  <c r="O40" i="1"/>
  <c r="O53" i="1"/>
  <c r="O34" i="1"/>
  <c r="O22" i="1"/>
  <c r="O42" i="1"/>
  <c r="O50" i="1"/>
  <c r="O43" i="1"/>
  <c r="O30" i="1"/>
  <c r="O39" i="1"/>
  <c r="O35" i="1"/>
  <c r="F14" i="1" l="1"/>
  <c r="F15" i="1" s="1"/>
  <c r="C18" i="1"/>
</calcChain>
</file>

<file path=xl/sharedStrings.xml><?xml version="1.0" encoding="utf-8"?>
<sst xmlns="http://schemas.openxmlformats.org/spreadsheetml/2006/main" count="429" uniqueCount="238">
  <si>
    <t>IBVS 6244</t>
  </si>
  <si>
    <t>OEJV 0191</t>
  </si>
  <si>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</si>
  <si>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</si>
  <si>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</si>
  <si>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</si>
  <si>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</si>
  <si>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</si>
  <si>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</si>
  <si>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</si>
  <si>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</si>
  <si>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</si>
  <si>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</si>
  <si>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</si>
  <si>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</si>
  <si>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</si>
  <si>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</si>
  <si>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</si>
  <si>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</si>
  <si>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</si>
  <si>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</si>
  <si>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</si>
  <si>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</si>
  <si>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</si>
  <si>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</si>
  <si>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</si>
  <si>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</si>
  <si>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</si>
  <si>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</si>
  <si>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</si>
  <si>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</si>
  <si>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</si>
  <si>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</si>
  <si>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</si>
  <si>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</si>
  <si>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</si>
  <si>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</si>
  <si>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</si>
  <si>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</si>
  <si>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</si>
  <si>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BAV-M 62</t>
  </si>
  <si>
    <t>BAV-M 68</t>
  </si>
  <si>
    <t>BBSAG Bull.107</t>
  </si>
  <si>
    <t>BBSAG Bull.92</t>
  </si>
  <si>
    <t>BBSAG Bull.99</t>
  </si>
  <si>
    <t>IBVS 1007</t>
  </si>
  <si>
    <t>IBVS 3900</t>
  </si>
  <si>
    <t>I</t>
  </si>
  <si>
    <t>IBVS 3903</t>
  </si>
  <si>
    <t>IBVS 5463</t>
  </si>
  <si>
    <t>IBVS 5595</t>
  </si>
  <si>
    <t>IBVS 5731</t>
  </si>
  <si>
    <t>IBVS 5745</t>
  </si>
  <si>
    <t>II</t>
  </si>
  <si>
    <t>IBVS 5918</t>
  </si>
  <si>
    <t>OEJV 0094</t>
  </si>
  <si>
    <t>OEJV 0074</t>
  </si>
  <si>
    <t>BW Boo / GSC 02560-00693</t>
  </si>
  <si>
    <t>EA/DM</t>
  </si>
  <si>
    <t>Eccentric orbit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</si>
  <si>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</si>
  <si>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</si>
  <si>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</si>
  <si>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</si>
  <si>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</si>
  <si>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</si>
  <si>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</si>
  <si>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</si>
  <si>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</si>
  <si>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</si>
  <si>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</si>
  <si>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</si>
  <si>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</si>
  <si>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</si>
  <si>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2438906.455 </t>
  </si>
  <si>
    <t> 25.05.1965 22:55 </t>
  </si>
  <si>
    <t> -0.015 </t>
  </si>
  <si>
    <t>E </t>
  </si>
  <si>
    <t>?</t>
  </si>
  <si>
    <t> G.Jakisch </t>
  </si>
  <si>
    <t>IBVS 314 </t>
  </si>
  <si>
    <t>2440362.9070 </t>
  </si>
  <si>
    <t> 21.05.1969 09:46 </t>
  </si>
  <si>
    <t> -0.0031 </t>
  </si>
  <si>
    <t> A.J.Harris </t>
  </si>
  <si>
    <t>IBVS 365 </t>
  </si>
  <si>
    <t>2441682.6960 </t>
  </si>
  <si>
    <t> 31.12.1972 04:42 </t>
  </si>
  <si>
    <t> -0.0093 </t>
  </si>
  <si>
    <t> M.Kurpinska </t>
  </si>
  <si>
    <t>IBVS 1007 </t>
  </si>
  <si>
    <t>2442152.6260 </t>
  </si>
  <si>
    <t> 15.04.1974 03:01 </t>
  </si>
  <si>
    <t> -0.0063 </t>
  </si>
  <si>
    <t>2446212.015 </t>
  </si>
  <si>
    <t> 26.05.1985 12:21 </t>
  </si>
  <si>
    <t> 0.013 </t>
  </si>
  <si>
    <t>V </t>
  </si>
  <si>
    <t> T.Kato </t>
  </si>
  <si>
    <t>VSB 47 </t>
  </si>
  <si>
    <t>2447678.452 </t>
  </si>
  <si>
    <t> 31.05.1989 22:50 </t>
  </si>
  <si>
    <t> 0.011 </t>
  </si>
  <si>
    <t> G.Boistel </t>
  </si>
  <si>
    <t> BBS 92 </t>
  </si>
  <si>
    <t>2448341.6652 </t>
  </si>
  <si>
    <t> 26.03.1991 03:57 </t>
  </si>
  <si>
    <t> -0.0064 </t>
  </si>
  <si>
    <t> Caton &amp; Burns </t>
  </si>
  <si>
    <t>IBVS 3900 </t>
  </si>
  <si>
    <t>2448518.3090 </t>
  </si>
  <si>
    <t> 18.09.1991 19:24 </t>
  </si>
  <si>
    <t> -0.0019 </t>
  </si>
  <si>
    <t> E.Blättler </t>
  </si>
  <si>
    <t> BBS 99 </t>
  </si>
  <si>
    <t>2449041.563 </t>
  </si>
  <si>
    <t> 23.02.1993 01:30 </t>
  </si>
  <si>
    <t> 0.000 </t>
  </si>
  <si>
    <t>B</t>
  </si>
  <si>
    <t> F.Agerer </t>
  </si>
  <si>
    <t>BAVM 62 </t>
  </si>
  <si>
    <t>2449041.566 </t>
  </si>
  <si>
    <t> 23.02.1993 01:35 </t>
  </si>
  <si>
    <t> 0.003 </t>
  </si>
  <si>
    <t>B;V</t>
  </si>
  <si>
    <t>2449099.73 </t>
  </si>
  <si>
    <t> 22.04.1993 05:31 </t>
  </si>
  <si>
    <t> 0.14 </t>
  </si>
  <si>
    <t> R.Diethelm </t>
  </si>
  <si>
    <t>IBVS 3903 </t>
  </si>
  <si>
    <t>2449481.4980 </t>
  </si>
  <si>
    <t> 08.05.1994 23:57 </t>
  </si>
  <si>
    <t> 0.0033 </t>
  </si>
  <si>
    <t>BAVM 68 </t>
  </si>
  <si>
    <t>2449481.4989 </t>
  </si>
  <si>
    <t> 08.05.1994 23:58 </t>
  </si>
  <si>
    <t> 0.0042 </t>
  </si>
  <si>
    <t>2449511.4935 </t>
  </si>
  <si>
    <t> 07.06.1994 23:50 </t>
  </si>
  <si>
    <t> 0.0035 </t>
  </si>
  <si>
    <t> BBS 107 </t>
  </si>
  <si>
    <t>2450574.647 </t>
  </si>
  <si>
    <t> 06.05.1997 03:31 </t>
  </si>
  <si>
    <t> -0.011 </t>
  </si>
  <si>
    <t> S.Cook </t>
  </si>
  <si>
    <t> JAAVSO 41;122 </t>
  </si>
  <si>
    <t>2452054.4301 </t>
  </si>
  <si>
    <t> 24.05.2001 22:19 </t>
  </si>
  <si>
    <t> 0.0014 </t>
  </si>
  <si>
    <t> Z.Müyesseroglu et al. </t>
  </si>
  <si>
    <t>IBVS 5463 </t>
  </si>
  <si>
    <t>2452454.3711 </t>
  </si>
  <si>
    <t> 28.06.2002 20:54 </t>
  </si>
  <si>
    <t> 0.0045 </t>
  </si>
  <si>
    <t>2452757.6524 </t>
  </si>
  <si>
    <t> 28.04.2003 03:39 </t>
  </si>
  <si>
    <t> -0.0004 </t>
  </si>
  <si>
    <t> Caton &amp; Smith </t>
  </si>
  <si>
    <t>IBVS 5595 </t>
  </si>
  <si>
    <t>2452815.6886 </t>
  </si>
  <si>
    <t> 25.06.2003 04:31 </t>
  </si>
  <si>
    <t> 0.0054 </t>
  </si>
  <si>
    <t> Smith &amp; Caton </t>
  </si>
  <si>
    <t>IBVS 5745 </t>
  </si>
  <si>
    <t>2453494.1972 </t>
  </si>
  <si>
    <t> 03.05.2005 16:43 </t>
  </si>
  <si>
    <t> -0.0080 </t>
  </si>
  <si>
    <t> Nakajima </t>
  </si>
  <si>
    <t>VSB 44 </t>
  </si>
  <si>
    <t>2453817.48357 </t>
  </si>
  <si>
    <t> 22.03.2006 23:36 </t>
  </si>
  <si>
    <t> -0.00475 </t>
  </si>
  <si>
    <t>C </t>
  </si>
  <si>
    <t>R</t>
  </si>
  <si>
    <t> L.Brát </t>
  </si>
  <si>
    <t>OEJV 0074 </t>
  </si>
  <si>
    <t>2453897.4777 </t>
  </si>
  <si>
    <t> 10.06.2006 23:27 </t>
  </si>
  <si>
    <t> 0.0018 </t>
  </si>
  <si>
    <t>-I</t>
  </si>
  <si>
    <t> H.Jungbluth </t>
  </si>
  <si>
    <t>BAVM 178 </t>
  </si>
  <si>
    <t>2454237.42027 </t>
  </si>
  <si>
    <t> 16.05.2007 22:05 </t>
  </si>
  <si>
    <t>521</t>
  </si>
  <si>
    <t> -0.00287 </t>
  </si>
  <si>
    <t> P.Svoboda </t>
  </si>
  <si>
    <t>2454237.42067 </t>
  </si>
  <si>
    <t> -0.00247 </t>
  </si>
  <si>
    <t>2454237.42127 </t>
  </si>
  <si>
    <t> 16.05.2007 22:06 </t>
  </si>
  <si>
    <t> -0.00187 </t>
  </si>
  <si>
    <t>2454275.45767 </t>
  </si>
  <si>
    <t> 23.06.2007 22:59 </t>
  </si>
  <si>
    <t>532.5</t>
  </si>
  <si>
    <t> 0.00110 </t>
  </si>
  <si>
    <t>2454275.45897 </t>
  </si>
  <si>
    <t> 23.06.2007 23:00 </t>
  </si>
  <si>
    <t> 0.00240 </t>
  </si>
  <si>
    <t>2454275.46127 </t>
  </si>
  <si>
    <t> 23.06.2007 23:04 </t>
  </si>
  <si>
    <t> 0.00470 </t>
  </si>
  <si>
    <t>2454307.41542 </t>
  </si>
  <si>
    <t> 25.07.2007 21:58 </t>
  </si>
  <si>
    <t>542</t>
  </si>
  <si>
    <t> 0.00315 </t>
  </si>
  <si>
    <t>2454307.41552 </t>
  </si>
  <si>
    <t> 0.00325 </t>
  </si>
  <si>
    <t>2454307.41572 </t>
  </si>
  <si>
    <t> 0.00345 </t>
  </si>
  <si>
    <t>2454597.3686 </t>
  </si>
  <si>
    <t> 10.05.2008 20:50 </t>
  </si>
  <si>
    <t>629</t>
  </si>
  <si>
    <t> 0.0013 </t>
  </si>
  <si>
    <t> R.Uhlar </t>
  </si>
  <si>
    <t>OEJV 0094 </t>
  </si>
  <si>
    <t>2454937.3127 </t>
  </si>
  <si>
    <t> 15.04.2009 19:30 </t>
  </si>
  <si>
    <t>731</t>
  </si>
  <si>
    <t> -0.0018 </t>
  </si>
  <si>
    <t> P.Frank </t>
  </si>
  <si>
    <t>BAVM 209 </t>
  </si>
  <si>
    <t>2455680.53501 </t>
  </si>
  <si>
    <t> 29.04.2011 00:50 </t>
  </si>
  <si>
    <t>954</t>
  </si>
  <si>
    <t> 0.00255 </t>
  </si>
  <si>
    <t> K.Ho?kova. </t>
  </si>
  <si>
    <t>OEJV 0160 </t>
  </si>
  <si>
    <t>2456730.3638 </t>
  </si>
  <si>
    <t> 13.03.2014 20:43 </t>
  </si>
  <si>
    <t>1269</t>
  </si>
  <si>
    <t> -0.0057 </t>
  </si>
  <si>
    <t>BAVM 238 </t>
  </si>
  <si>
    <t>s5</t>
  </si>
  <si>
    <t>s6</t>
  </si>
  <si>
    <t>s7</t>
  </si>
  <si>
    <t>IBVS 0314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</si>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</sst>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5" fillId="0" borderId="0" xfId="44" applyFont="1"/>
    <xf numFmtId="0" fontId="35" fillId="0" borderId="0" xfId="44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4" fontId="37" fillId="0" borderId="0" xfId="28" applyFont="1" applyBorder="1"/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B-45B0-A2A1-653A0F54F5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-4.823000002943445E-3</c:v>
                </c:pt>
                <c:pt idx="1">
                  <c:v>0</c:v>
                </c:pt>
                <c:pt idx="5">
                  <c:v>1.1545000001206063E-2</c:v>
                </c:pt>
                <c:pt idx="6">
                  <c:v>7.3049999991781078E-3</c:v>
                </c:pt>
                <c:pt idx="9">
                  <c:v>-6.587000003491994E-3</c:v>
                </c:pt>
                <c:pt idx="10">
                  <c:v>-5.4840000011608936E-3</c:v>
                </c:pt>
                <c:pt idx="11">
                  <c:v>-2.484000004187692E-3</c:v>
                </c:pt>
                <c:pt idx="13">
                  <c:v>-2.8559999991557561E-3</c:v>
                </c:pt>
                <c:pt idx="14">
                  <c:v>-1.9560000000637956E-3</c:v>
                </c:pt>
                <c:pt idx="15">
                  <c:v>-2.7450000052340329E-3</c:v>
                </c:pt>
                <c:pt idx="21">
                  <c:v>-2.0140000000537839E-2</c:v>
                </c:pt>
                <c:pt idx="37">
                  <c:v>-2.2731000004569069E-2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B-45B0-A2A1-653A0F54F51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">
                  <c:v>4.3999999979860149E-3</c:v>
                </c:pt>
                <c:pt idx="3">
                  <c:v>-3.7159999992582016E-3</c:v>
                </c:pt>
                <c:pt idx="4">
                  <c:v>-1.4770000052521937E-3</c:v>
                </c:pt>
                <c:pt idx="7">
                  <c:v>-1.0914000005868729E-2</c:v>
                </c:pt>
                <c:pt idx="8">
                  <c:v>-1.0873999999603257E-2</c:v>
                </c:pt>
                <c:pt idx="12">
                  <c:v>-0.16285149999748683</c:v>
                </c:pt>
                <c:pt idx="17">
                  <c:v>-8.5680000047432259E-3</c:v>
                </c:pt>
                <c:pt idx="18">
                  <c:v>-6.0880000019096769E-3</c:v>
                </c:pt>
                <c:pt idx="23">
                  <c:v>-1.0980999999446794E-2</c:v>
                </c:pt>
                <c:pt idx="35">
                  <c:v>-1.6132999997353181E-2</c:v>
                </c:pt>
                <c:pt idx="38">
                  <c:v>-2.2631000007095281E-2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B-45B0-A2A1-653A0F54F51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-1.9144000005326234E-2</c:v>
                </c:pt>
                <c:pt idx="19">
                  <c:v>-1.1499000000185333E-2</c:v>
                </c:pt>
                <c:pt idx="20">
                  <c:v>-0.29966650000278605</c:v>
                </c:pt>
                <c:pt idx="22">
                  <c:v>-1.7407000006642193E-2</c:v>
                </c:pt>
                <c:pt idx="24">
                  <c:v>-1.6152999996847939E-2</c:v>
                </c:pt>
                <c:pt idx="25">
                  <c:v>-1.5752999999676831E-2</c:v>
                </c:pt>
                <c:pt idx="26">
                  <c:v>-1.5153000000282191E-2</c:v>
                </c:pt>
                <c:pt idx="27">
                  <c:v>-0.30619449999358039</c:v>
                </c:pt>
                <c:pt idx="28">
                  <c:v>-0.30489449999731733</c:v>
                </c:pt>
                <c:pt idx="29">
                  <c:v>-0.30259449999721255</c:v>
                </c:pt>
                <c:pt idx="30">
                  <c:v>-1.0244000004604459E-2</c:v>
                </c:pt>
                <c:pt idx="31">
                  <c:v>-1.0143999999854714E-2</c:v>
                </c:pt>
                <c:pt idx="32">
                  <c:v>-9.9440000049071386E-3</c:v>
                </c:pt>
                <c:pt idx="33">
                  <c:v>-1.2491000001318753E-2</c:v>
                </c:pt>
                <c:pt idx="34">
                  <c:v>-1.2451000002329238E-2</c:v>
                </c:pt>
                <c:pt idx="36">
                  <c:v>-1.2906000003567897E-2</c:v>
                </c:pt>
                <c:pt idx="39">
                  <c:v>-1.5884000000369269E-2</c:v>
                </c:pt>
                <c:pt idx="40">
                  <c:v>-2.4597000003268477E-2</c:v>
                </c:pt>
                <c:pt idx="41">
                  <c:v>-1.2408000002324115E-2</c:v>
                </c:pt>
                <c:pt idx="42">
                  <c:v>-3.0147000215947628E-2</c:v>
                </c:pt>
                <c:pt idx="43">
                  <c:v>-2.4147000163793564E-2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6B-45B0-A2A1-653A0F54F51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6B-45B0-A2A1-653A0F54F5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6B-45B0-A2A1-653A0F54F5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6B-45B0-A2A1-653A0F54F5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5.7448626550732559E-3</c:v>
                </c:pt>
                <c:pt idx="1">
                  <c:v>3.8736422707266981E-3</c:v>
                </c:pt>
                <c:pt idx="2">
                  <c:v>3.8736422707266981E-3</c:v>
                </c:pt>
                <c:pt idx="3">
                  <c:v>2.1779826089389706E-3</c:v>
                </c:pt>
                <c:pt idx="4">
                  <c:v>1.5742250020903104E-3</c:v>
                </c:pt>
                <c:pt idx="5">
                  <c:v>-3.641213048559821E-3</c:v>
                </c:pt>
                <c:pt idx="6">
                  <c:v>-5.5252793394350731E-3</c:v>
                </c:pt>
                <c:pt idx="7">
                  <c:v>-6.3773911391718351E-3</c:v>
                </c:pt>
                <c:pt idx="8">
                  <c:v>-6.3773911391718351E-3</c:v>
                </c:pt>
                <c:pt idx="9">
                  <c:v>-6.6043354878454457E-3</c:v>
                </c:pt>
                <c:pt idx="10">
                  <c:v>-7.276604596180479E-3</c:v>
                </c:pt>
                <c:pt idx="11">
                  <c:v>-7.276604596180479E-3</c:v>
                </c:pt>
                <c:pt idx="12">
                  <c:v>-7.3515390509311992E-3</c:v>
                </c:pt>
                <c:pt idx="13">
                  <c:v>-7.8418244834430554E-3</c:v>
                </c:pt>
                <c:pt idx="14">
                  <c:v>-7.8418244834430554E-3</c:v>
                </c:pt>
                <c:pt idx="15">
                  <c:v>-7.8803622030291388E-3</c:v>
                </c:pt>
                <c:pt idx="16">
                  <c:v>-9.2463102639136971E-3</c:v>
                </c:pt>
                <c:pt idx="17">
                  <c:v>-1.1147504430160543E-2</c:v>
                </c:pt>
                <c:pt idx="18">
                  <c:v>-1.166134069130834E-2</c:v>
                </c:pt>
                <c:pt idx="19">
                  <c:v>-1.2050999856012084E-2</c:v>
                </c:pt>
                <c:pt idx="20">
                  <c:v>-1.2125934310762806E-2</c:v>
                </c:pt>
                <c:pt idx="21">
                  <c:v>-1.299731497029261E-2</c:v>
                </c:pt>
                <c:pt idx="22">
                  <c:v>-1.3412665948053744E-2</c:v>
                </c:pt>
                <c:pt idx="23">
                  <c:v>-1.3515433200283304E-2</c:v>
                </c:pt>
                <c:pt idx="24">
                  <c:v>-1.3952194022258932E-2</c:v>
                </c:pt>
                <c:pt idx="25">
                  <c:v>-1.3952194022258932E-2</c:v>
                </c:pt>
                <c:pt idx="26">
                  <c:v>-1.3952194022258932E-2</c:v>
                </c:pt>
                <c:pt idx="27">
                  <c:v>-1.400143666395226E-2</c:v>
                </c:pt>
                <c:pt idx="28">
                  <c:v>-1.400143666395226E-2</c:v>
                </c:pt>
                <c:pt idx="29">
                  <c:v>-1.400143666395226E-2</c:v>
                </c:pt>
                <c:pt idx="30">
                  <c:v>-1.4042115367959795E-2</c:v>
                </c:pt>
                <c:pt idx="31">
                  <c:v>-1.4042115367959795E-2</c:v>
                </c:pt>
                <c:pt idx="32">
                  <c:v>-1.4042115367959795E-2</c:v>
                </c:pt>
                <c:pt idx="33">
                  <c:v>-1.4414646657291946E-2</c:v>
                </c:pt>
                <c:pt idx="34">
                  <c:v>-1.4414646657291946E-2</c:v>
                </c:pt>
                <c:pt idx="35">
                  <c:v>-1.4851407479267574E-2</c:v>
                </c:pt>
                <c:pt idx="36">
                  <c:v>-1.5806286531233896E-2</c:v>
                </c:pt>
                <c:pt idx="37">
                  <c:v>-1.715510671674686E-2</c:v>
                </c:pt>
                <c:pt idx="38">
                  <c:v>-1.715510671674686E-2</c:v>
                </c:pt>
                <c:pt idx="39">
                  <c:v>-1.7981526703426232E-2</c:v>
                </c:pt>
                <c:pt idx="40">
                  <c:v>-1.8636667936389673E-2</c:v>
                </c:pt>
                <c:pt idx="41">
                  <c:v>-1.8598130216803586E-2</c:v>
                </c:pt>
                <c:pt idx="42">
                  <c:v>-2.0991750799983739E-2</c:v>
                </c:pt>
                <c:pt idx="43">
                  <c:v>-2.0991750799983739E-2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6B-45B0-A2A1-653A0F54F51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0.10597121303952972</c:v>
                </c:pt>
                <c:pt idx="1">
                  <c:v>6.6432269409297084E-2</c:v>
                </c:pt>
                <c:pt idx="2">
                  <c:v>6.6432269409297084E-2</c:v>
                </c:pt>
                <c:pt idx="3">
                  <c:v>3.0602929186019916E-2</c:v>
                </c:pt>
                <c:pt idx="4">
                  <c:v>1.7845512591368191E-2</c:v>
                </c:pt>
                <c:pt idx="5">
                  <c:v>-9.2356852034772202E-2</c:v>
                </c:pt>
                <c:pt idx="6">
                  <c:v>-0.13216723006063572</c:v>
                </c:pt>
                <c:pt idx="7">
                  <c:v>-0.15017237830415125</c:v>
                </c:pt>
                <c:pt idx="8">
                  <c:v>-0.15017237830415125</c:v>
                </c:pt>
                <c:pt idx="9">
                  <c:v>-0.15496771929363029</c:v>
                </c:pt>
                <c:pt idx="10">
                  <c:v>-0.1691727859983134</c:v>
                </c:pt>
                <c:pt idx="11">
                  <c:v>-0.1691727859983134</c:v>
                </c:pt>
                <c:pt idx="12">
                  <c:v>-0.17075615330616026</c:v>
                </c:pt>
                <c:pt idx="13">
                  <c:v>-0.18111589940607245</c:v>
                </c:pt>
                <c:pt idx="14">
                  <c:v>-0.18111589940607245</c:v>
                </c:pt>
                <c:pt idx="15">
                  <c:v>-0.18193020259296513</c:v>
                </c:pt>
                <c:pt idx="16">
                  <c:v>-0.21079272666171617</c:v>
                </c:pt>
                <c:pt idx="17">
                  <c:v>-0.25096501721508757</c:v>
                </c:pt>
                <c:pt idx="18">
                  <c:v>-0.26182239304032306</c:v>
                </c:pt>
                <c:pt idx="19">
                  <c:v>-0.27005590304112664</c:v>
                </c:pt>
                <c:pt idx="20">
                  <c:v>-0.2716392703489735</c:v>
                </c:pt>
                <c:pt idx="21">
                  <c:v>-0.29005157018593536</c:v>
                </c:pt>
                <c:pt idx="22">
                  <c:v>-0.29882794897800075</c:v>
                </c:pt>
                <c:pt idx="23">
                  <c:v>-0.30099942414304787</c:v>
                </c:pt>
                <c:pt idx="24">
                  <c:v>-0.31022819359449805</c:v>
                </c:pt>
                <c:pt idx="25">
                  <c:v>-0.31022819359449805</c:v>
                </c:pt>
                <c:pt idx="26">
                  <c:v>-0.31022819359449805</c:v>
                </c:pt>
                <c:pt idx="27">
                  <c:v>-0.3112686921110831</c:v>
                </c:pt>
                <c:pt idx="28">
                  <c:v>-0.3112686921110831</c:v>
                </c:pt>
                <c:pt idx="29">
                  <c:v>-0.3112686921110831</c:v>
                </c:pt>
                <c:pt idx="30">
                  <c:v>-0.31212823436391424</c:v>
                </c:pt>
                <c:pt idx="31">
                  <c:v>-0.31212823436391424</c:v>
                </c:pt>
                <c:pt idx="32">
                  <c:v>-0.31212823436391424</c:v>
                </c:pt>
                <c:pt idx="33">
                  <c:v>-0.31999983183720998</c:v>
                </c:pt>
                <c:pt idx="34">
                  <c:v>-0.31999983183720998</c:v>
                </c:pt>
                <c:pt idx="35">
                  <c:v>-0.32922860128866016</c:v>
                </c:pt>
                <c:pt idx="36">
                  <c:v>-0.34940522469722279</c:v>
                </c:pt>
                <c:pt idx="37">
                  <c:v>-0.37790583623846602</c:v>
                </c:pt>
                <c:pt idx="38">
                  <c:v>-0.37790583623846602</c:v>
                </c:pt>
                <c:pt idx="39">
                  <c:v>-0.39536811569071978</c:v>
                </c:pt>
                <c:pt idx="40">
                  <c:v>-0.40921126986789508</c:v>
                </c:pt>
                <c:pt idx="41">
                  <c:v>-0.40839696668100239</c:v>
                </c:pt>
                <c:pt idx="42">
                  <c:v>-0.4589742424002245</c:v>
                </c:pt>
                <c:pt idx="43">
                  <c:v>-0.4589742424002245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6B-45B0-A2A1-653A0F54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4888"/>
        <c:axId val="1"/>
      </c:scatterChart>
      <c:valAx>
        <c:axId val="54311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83870967741936E-2"/>
          <c:y val="0.92097264437689974"/>
          <c:w val="0.8983870967741935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-4.823000002943445E-3</c:v>
                </c:pt>
                <c:pt idx="1">
                  <c:v>0</c:v>
                </c:pt>
                <c:pt idx="2">
                  <c:v>4.3999999979860149E-3</c:v>
                </c:pt>
                <c:pt idx="3">
                  <c:v>-3.7159999992582016E-3</c:v>
                </c:pt>
                <c:pt idx="4">
                  <c:v>-1.4770000052521937E-3</c:v>
                </c:pt>
                <c:pt idx="5">
                  <c:v>1.1545000001206063E-2</c:v>
                </c:pt>
                <c:pt idx="6">
                  <c:v>7.3049999991781078E-3</c:v>
                </c:pt>
                <c:pt idx="7">
                  <c:v>-1.0914000005868729E-2</c:v>
                </c:pt>
                <c:pt idx="8">
                  <c:v>-1.0873999999603257E-2</c:v>
                </c:pt>
                <c:pt idx="9">
                  <c:v>-6.587000003491994E-3</c:v>
                </c:pt>
                <c:pt idx="10">
                  <c:v>-5.4840000011608936E-3</c:v>
                </c:pt>
                <c:pt idx="11">
                  <c:v>-2.484000004187692E-3</c:v>
                </c:pt>
                <c:pt idx="13">
                  <c:v>-2.8559999991557561E-3</c:v>
                </c:pt>
                <c:pt idx="14">
                  <c:v>-1.9560000000637956E-3</c:v>
                </c:pt>
                <c:pt idx="15">
                  <c:v>-2.7450000052340329E-3</c:v>
                </c:pt>
                <c:pt idx="16">
                  <c:v>-1.9144000005326234E-2</c:v>
                </c:pt>
                <c:pt idx="17">
                  <c:v>-8.5680000047432259E-3</c:v>
                </c:pt>
                <c:pt idx="18">
                  <c:v>-6.0880000019096769E-3</c:v>
                </c:pt>
                <c:pt idx="19">
                  <c:v>-1.1499000000185333E-2</c:v>
                </c:pt>
                <c:pt idx="21">
                  <c:v>-2.0140000000537839E-2</c:v>
                </c:pt>
                <c:pt idx="22">
                  <c:v>-1.7407000006642193E-2</c:v>
                </c:pt>
                <c:pt idx="23">
                  <c:v>-1.0980999999446794E-2</c:v>
                </c:pt>
                <c:pt idx="24">
                  <c:v>-1.6152999996847939E-2</c:v>
                </c:pt>
                <c:pt idx="25">
                  <c:v>-1.5752999999676831E-2</c:v>
                </c:pt>
                <c:pt idx="26">
                  <c:v>-1.5153000000282191E-2</c:v>
                </c:pt>
                <c:pt idx="30">
                  <c:v>-1.0244000004604459E-2</c:v>
                </c:pt>
                <c:pt idx="31">
                  <c:v>-1.0143999999854714E-2</c:v>
                </c:pt>
                <c:pt idx="32">
                  <c:v>-9.9440000049071386E-3</c:v>
                </c:pt>
                <c:pt idx="33">
                  <c:v>-1.2491000001318753E-2</c:v>
                </c:pt>
                <c:pt idx="34">
                  <c:v>-1.2451000002329238E-2</c:v>
                </c:pt>
                <c:pt idx="35">
                  <c:v>-1.6132999997353181E-2</c:v>
                </c:pt>
                <c:pt idx="36">
                  <c:v>-1.2906000003567897E-2</c:v>
                </c:pt>
                <c:pt idx="37">
                  <c:v>-2.2731000004569069E-2</c:v>
                </c:pt>
                <c:pt idx="38">
                  <c:v>-2.2631000007095281E-2</c:v>
                </c:pt>
                <c:pt idx="39">
                  <c:v>-1.5884000000369269E-2</c:v>
                </c:pt>
                <c:pt idx="40">
                  <c:v>-2.4597000003268477E-2</c:v>
                </c:pt>
                <c:pt idx="41">
                  <c:v>-1.2408000002324115E-2</c:v>
                </c:pt>
                <c:pt idx="42">
                  <c:v>-3.0147000215947628E-2</c:v>
                </c:pt>
                <c:pt idx="43">
                  <c:v>-2.4147000163793564E-2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8-411B-83C6-1AED073157A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5.7448626550732559E-3</c:v>
                </c:pt>
                <c:pt idx="1">
                  <c:v>3.8736422707266981E-3</c:v>
                </c:pt>
                <c:pt idx="2">
                  <c:v>3.8736422707266981E-3</c:v>
                </c:pt>
                <c:pt idx="3">
                  <c:v>2.1779826089389706E-3</c:v>
                </c:pt>
                <c:pt idx="4">
                  <c:v>1.5742250020903104E-3</c:v>
                </c:pt>
                <c:pt idx="5">
                  <c:v>-3.641213048559821E-3</c:v>
                </c:pt>
                <c:pt idx="6">
                  <c:v>-5.5252793394350731E-3</c:v>
                </c:pt>
                <c:pt idx="7">
                  <c:v>-6.3773911391718351E-3</c:v>
                </c:pt>
                <c:pt idx="8">
                  <c:v>-6.3773911391718351E-3</c:v>
                </c:pt>
                <c:pt idx="9">
                  <c:v>-6.6043354878454457E-3</c:v>
                </c:pt>
                <c:pt idx="10">
                  <c:v>-7.276604596180479E-3</c:v>
                </c:pt>
                <c:pt idx="11">
                  <c:v>-7.276604596180479E-3</c:v>
                </c:pt>
                <c:pt idx="12">
                  <c:v>-7.3515390509311992E-3</c:v>
                </c:pt>
                <c:pt idx="13">
                  <c:v>-7.8418244834430554E-3</c:v>
                </c:pt>
                <c:pt idx="14">
                  <c:v>-7.8418244834430554E-3</c:v>
                </c:pt>
                <c:pt idx="15">
                  <c:v>-7.8803622030291388E-3</c:v>
                </c:pt>
                <c:pt idx="16">
                  <c:v>-9.2463102639136971E-3</c:v>
                </c:pt>
                <c:pt idx="17">
                  <c:v>-1.1147504430160543E-2</c:v>
                </c:pt>
                <c:pt idx="18">
                  <c:v>-1.166134069130834E-2</c:v>
                </c:pt>
                <c:pt idx="19">
                  <c:v>-1.2050999856012084E-2</c:v>
                </c:pt>
                <c:pt idx="20">
                  <c:v>-1.2125934310762806E-2</c:v>
                </c:pt>
                <c:pt idx="21">
                  <c:v>-1.299731497029261E-2</c:v>
                </c:pt>
                <c:pt idx="22">
                  <c:v>-1.3412665948053744E-2</c:v>
                </c:pt>
                <c:pt idx="23">
                  <c:v>-1.3515433200283304E-2</c:v>
                </c:pt>
                <c:pt idx="24">
                  <c:v>-1.3952194022258932E-2</c:v>
                </c:pt>
                <c:pt idx="25">
                  <c:v>-1.3952194022258932E-2</c:v>
                </c:pt>
                <c:pt idx="26">
                  <c:v>-1.3952194022258932E-2</c:v>
                </c:pt>
                <c:pt idx="27">
                  <c:v>-1.400143666395226E-2</c:v>
                </c:pt>
                <c:pt idx="28">
                  <c:v>-1.400143666395226E-2</c:v>
                </c:pt>
                <c:pt idx="29">
                  <c:v>-1.400143666395226E-2</c:v>
                </c:pt>
                <c:pt idx="30">
                  <c:v>-1.4042115367959795E-2</c:v>
                </c:pt>
                <c:pt idx="31">
                  <c:v>-1.4042115367959795E-2</c:v>
                </c:pt>
                <c:pt idx="32">
                  <c:v>-1.4042115367959795E-2</c:v>
                </c:pt>
                <c:pt idx="33">
                  <c:v>-1.4414646657291946E-2</c:v>
                </c:pt>
                <c:pt idx="34">
                  <c:v>-1.4414646657291946E-2</c:v>
                </c:pt>
                <c:pt idx="35">
                  <c:v>-1.4851407479267574E-2</c:v>
                </c:pt>
                <c:pt idx="36">
                  <c:v>-1.5806286531233896E-2</c:v>
                </c:pt>
                <c:pt idx="37">
                  <c:v>-1.715510671674686E-2</c:v>
                </c:pt>
                <c:pt idx="38">
                  <c:v>-1.715510671674686E-2</c:v>
                </c:pt>
                <c:pt idx="39">
                  <c:v>-1.7981526703426232E-2</c:v>
                </c:pt>
                <c:pt idx="40">
                  <c:v>-1.8636667936389673E-2</c:v>
                </c:pt>
                <c:pt idx="41">
                  <c:v>-1.8598130216803586E-2</c:v>
                </c:pt>
                <c:pt idx="42">
                  <c:v>-2.0991750799983739E-2</c:v>
                </c:pt>
                <c:pt idx="43">
                  <c:v>-2.0991750799983739E-2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8-411B-83C6-1AED0731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5248"/>
        <c:axId val="1"/>
      </c:scatterChart>
      <c:valAx>
        <c:axId val="54311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291060509328225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2">
                  <c:v>-0.16285149999748683</c:v>
                </c:pt>
                <c:pt idx="20">
                  <c:v>-0.29966650000278605</c:v>
                </c:pt>
                <c:pt idx="27">
                  <c:v>-0.30619449999358039</c:v>
                </c:pt>
                <c:pt idx="28">
                  <c:v>-0.30489449999731733</c:v>
                </c:pt>
                <c:pt idx="29">
                  <c:v>-0.30259449999721255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E-4402-8165-8A97D4457D5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0.10597121303952972</c:v>
                </c:pt>
                <c:pt idx="1">
                  <c:v>6.6432269409297084E-2</c:v>
                </c:pt>
                <c:pt idx="2">
                  <c:v>6.6432269409297084E-2</c:v>
                </c:pt>
                <c:pt idx="3">
                  <c:v>3.0602929186019916E-2</c:v>
                </c:pt>
                <c:pt idx="4">
                  <c:v>1.7845512591368191E-2</c:v>
                </c:pt>
                <c:pt idx="5">
                  <c:v>-9.2356852034772202E-2</c:v>
                </c:pt>
                <c:pt idx="6">
                  <c:v>-0.13216723006063572</c:v>
                </c:pt>
                <c:pt idx="7">
                  <c:v>-0.15017237830415125</c:v>
                </c:pt>
                <c:pt idx="8">
                  <c:v>-0.15017237830415125</c:v>
                </c:pt>
                <c:pt idx="9">
                  <c:v>-0.15496771929363029</c:v>
                </c:pt>
                <c:pt idx="10">
                  <c:v>-0.1691727859983134</c:v>
                </c:pt>
                <c:pt idx="11">
                  <c:v>-0.1691727859983134</c:v>
                </c:pt>
                <c:pt idx="12">
                  <c:v>-0.17075615330616026</c:v>
                </c:pt>
                <c:pt idx="13">
                  <c:v>-0.18111589940607245</c:v>
                </c:pt>
                <c:pt idx="14">
                  <c:v>-0.18111589940607245</c:v>
                </c:pt>
                <c:pt idx="15">
                  <c:v>-0.18193020259296513</c:v>
                </c:pt>
                <c:pt idx="16">
                  <c:v>-0.21079272666171617</c:v>
                </c:pt>
                <c:pt idx="17">
                  <c:v>-0.25096501721508757</c:v>
                </c:pt>
                <c:pt idx="18">
                  <c:v>-0.26182239304032306</c:v>
                </c:pt>
                <c:pt idx="19">
                  <c:v>-0.27005590304112664</c:v>
                </c:pt>
                <c:pt idx="20">
                  <c:v>-0.2716392703489735</c:v>
                </c:pt>
                <c:pt idx="21">
                  <c:v>-0.29005157018593536</c:v>
                </c:pt>
                <c:pt idx="22">
                  <c:v>-0.29882794897800075</c:v>
                </c:pt>
                <c:pt idx="23">
                  <c:v>-0.30099942414304787</c:v>
                </c:pt>
                <c:pt idx="24">
                  <c:v>-0.31022819359449805</c:v>
                </c:pt>
                <c:pt idx="25">
                  <c:v>-0.31022819359449805</c:v>
                </c:pt>
                <c:pt idx="26">
                  <c:v>-0.31022819359449805</c:v>
                </c:pt>
                <c:pt idx="27">
                  <c:v>-0.3112686921110831</c:v>
                </c:pt>
                <c:pt idx="28">
                  <c:v>-0.3112686921110831</c:v>
                </c:pt>
                <c:pt idx="29">
                  <c:v>-0.3112686921110831</c:v>
                </c:pt>
                <c:pt idx="30">
                  <c:v>-0.31212823436391424</c:v>
                </c:pt>
                <c:pt idx="31">
                  <c:v>-0.31212823436391424</c:v>
                </c:pt>
                <c:pt idx="32">
                  <c:v>-0.31212823436391424</c:v>
                </c:pt>
                <c:pt idx="33">
                  <c:v>-0.31999983183720998</c:v>
                </c:pt>
                <c:pt idx="34">
                  <c:v>-0.31999983183720998</c:v>
                </c:pt>
                <c:pt idx="35">
                  <c:v>-0.32922860128866016</c:v>
                </c:pt>
                <c:pt idx="36">
                  <c:v>-0.34940522469722279</c:v>
                </c:pt>
                <c:pt idx="37">
                  <c:v>-0.37790583623846602</c:v>
                </c:pt>
                <c:pt idx="38">
                  <c:v>-0.37790583623846602</c:v>
                </c:pt>
                <c:pt idx="39">
                  <c:v>-0.39536811569071978</c:v>
                </c:pt>
                <c:pt idx="40">
                  <c:v>-0.40921126986789508</c:v>
                </c:pt>
                <c:pt idx="41">
                  <c:v>-0.40839696668100239</c:v>
                </c:pt>
                <c:pt idx="42">
                  <c:v>-0.4589742424002245</c:v>
                </c:pt>
                <c:pt idx="43">
                  <c:v>-0.4589742424002245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E-4402-8165-8A97D445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80336"/>
        <c:axId val="1"/>
      </c:scatterChart>
      <c:valAx>
        <c:axId val="54318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8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238125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1323436-0026-25C9-839F-D55C8ECE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14</xdr:col>
      <xdr:colOff>419100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5D8C18-1D5B-B325-8C50-CB78B9A98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22</xdr:row>
      <xdr:rowOff>76200</xdr:rowOff>
    </xdr:from>
    <xdr:to>
      <xdr:col>14</xdr:col>
      <xdr:colOff>419099</xdr:colOff>
      <xdr:row>42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1E5FD16-7CDD-5954-CC6A-76F1550FC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65" TargetMode="External"/><Relationship Id="rId21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00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314" TargetMode="External"/><Relationship Id="rId16" Type="http://schemas.openxmlformats.org/officeDocument/2006/relationships/hyperlink" Target="http://www.konkoly.hu/cgi-bin/IBVS?5745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007" TargetMode="External"/><Relationship Id="rId15" Type="http://schemas.openxmlformats.org/officeDocument/2006/relationships/hyperlink" Target="http://www.konkoly.hu/cgi-bin/IBVS?5595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390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007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workbookViewId="0">
      <pane xSplit="14" ySplit="21" topLeftCell="O5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style="13" customWidth="1"/>
    <col min="3" max="3" width="12.7109375" customWidth="1"/>
    <col min="4" max="4" width="8.28515625" customWidth="1"/>
    <col min="5" max="5" width="9.42578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20</v>
      </c>
      <c r="B2" s="59" t="s">
        <v>58</v>
      </c>
      <c r="D2" s="9" t="s">
        <v>59</v>
      </c>
    </row>
    <row r="3" spans="1:6" ht="13.5" thickBot="1" x14ac:dyDescent="0.25"/>
    <row r="4" spans="1:6" ht="14.25" thickTop="1" thickBot="1" x14ac:dyDescent="0.25">
      <c r="A4" s="6" t="s">
        <v>3</v>
      </c>
      <c r="C4" s="3">
        <v>40362.902600000001</v>
      </c>
      <c r="D4" s="4">
        <v>3.332821</v>
      </c>
    </row>
    <row r="5" spans="1:6" ht="13.5" thickTop="1" x14ac:dyDescent="0.2">
      <c r="A5" s="24" t="s">
        <v>32</v>
      </c>
      <c r="B5" s="60"/>
      <c r="C5" s="25">
        <v>-9.5</v>
      </c>
      <c r="D5" s="18" t="s">
        <v>33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40362.902600000001</v>
      </c>
    </row>
    <row r="8" spans="1:6" x14ac:dyDescent="0.2">
      <c r="A8" t="s">
        <v>6</v>
      </c>
      <c r="C8">
        <f>D4</f>
        <v>3.332821</v>
      </c>
    </row>
    <row r="9" spans="1:6" x14ac:dyDescent="0.2">
      <c r="A9" s="16" t="s">
        <v>29</v>
      </c>
      <c r="B9" s="61"/>
      <c r="C9" s="17">
        <v>21</v>
      </c>
      <c r="D9" s="17">
        <v>21</v>
      </c>
    </row>
    <row r="10" spans="1:6" ht="13.5" thickBot="1" x14ac:dyDescent="0.25">
      <c r="A10" s="18"/>
      <c r="B10" s="60"/>
      <c r="C10" s="5" t="s">
        <v>21</v>
      </c>
      <c r="D10" s="5" t="s">
        <v>22</v>
      </c>
    </row>
    <row r="11" spans="1:6" x14ac:dyDescent="0.2">
      <c r="A11" s="18" t="s">
        <v>17</v>
      </c>
      <c r="B11" s="60"/>
      <c r="C11" s="19">
        <f ca="1">INTERCEPT(INDIRECT(C14):R$935,INDIRECT(C13):$F$935)</f>
        <v>3.8736422707266981E-3</v>
      </c>
      <c r="D11" s="19">
        <f ca="1">INTERCEPT(INDIRECT(D14):S$935,INDIRECT(D13):$F$935)</f>
        <v>6.6432269409297084E-2</v>
      </c>
      <c r="E11" s="16" t="s">
        <v>35</v>
      </c>
      <c r="F11">
        <v>1</v>
      </c>
    </row>
    <row r="12" spans="1:6" x14ac:dyDescent="0.2">
      <c r="A12" s="18" t="s">
        <v>18</v>
      </c>
      <c r="B12" s="60"/>
      <c r="C12" s="19">
        <f ca="1">SLOPE(INDIRECT(C14):R$935,INDIRECT(C13):$F$935)</f>
        <v>-4.2819688428983014E-6</v>
      </c>
      <c r="D12" s="19">
        <f ca="1">SLOPE(INDIRECT(D14):S$935,INDIRECT(D13):$F$935)</f>
        <v>-9.0478131876962553E-5</v>
      </c>
      <c r="E12" s="16" t="s">
        <v>36</v>
      </c>
      <c r="F12" s="26">
        <f ca="1">NOW()+15018.5+$C$5/24</f>
        <v>60324.714207291661</v>
      </c>
    </row>
    <row r="13" spans="1:6" x14ac:dyDescent="0.2">
      <c r="A13" s="16" t="s">
        <v>30</v>
      </c>
      <c r="B13" s="61"/>
      <c r="C13" s="17" t="str">
        <f>"F"&amp;C9</f>
        <v>F21</v>
      </c>
      <c r="D13" s="17" t="str">
        <f>"F"&amp;D9</f>
        <v>F21</v>
      </c>
      <c r="E13" s="16" t="s">
        <v>37</v>
      </c>
      <c r="F13" s="26">
        <f ca="1">ROUND(2*(F12-$C$7)/$C$8,0)/2+F11</f>
        <v>5990.5</v>
      </c>
    </row>
    <row r="14" spans="1:6" x14ac:dyDescent="0.2">
      <c r="A14" s="16" t="s">
        <v>31</v>
      </c>
      <c r="B14" s="61"/>
      <c r="C14" s="17" t="str">
        <f>"R"&amp;C9</f>
        <v>R21</v>
      </c>
      <c r="D14" s="17" t="str">
        <f>"S"&amp;D9</f>
        <v>S21</v>
      </c>
      <c r="E14" s="16" t="s">
        <v>38</v>
      </c>
      <c r="F14" s="27">
        <f ca="1">ROUND(2*(F12-$C$15)/$C$16,0)/2+F11</f>
        <v>183.5</v>
      </c>
    </row>
    <row r="15" spans="1:6" x14ac:dyDescent="0.2">
      <c r="A15" s="20" t="s">
        <v>19</v>
      </c>
      <c r="B15" s="60"/>
      <c r="C15" s="21">
        <f ca="1">($C7+C11)+($C8+C12)*INT(MAX($F21:$F3533))</f>
        <v>59716.573155249207</v>
      </c>
      <c r="D15" s="21">
        <f ca="1">($C7+D11)+($C8+D12)*INT(MAX($F21:$F3533))</f>
        <v>59716.135172757597</v>
      </c>
      <c r="E15" s="16" t="s">
        <v>39</v>
      </c>
      <c r="F15" s="28">
        <f ca="1">+$C$15+$C$16*F14-15018.5-$C$5/24</f>
        <v>45310.040856341257</v>
      </c>
    </row>
    <row r="16" spans="1:6" x14ac:dyDescent="0.2">
      <c r="A16" s="22" t="s">
        <v>7</v>
      </c>
      <c r="B16" s="60"/>
      <c r="C16" s="23">
        <f ca="1">+$C8+C12</f>
        <v>3.332816718031157</v>
      </c>
      <c r="D16" s="19">
        <f ca="1">+$C8+D12</f>
        <v>3.3327305218681231</v>
      </c>
      <c r="E16" s="29"/>
      <c r="F16" s="29" t="s">
        <v>34</v>
      </c>
    </row>
    <row r="17" spans="1:19" ht="13.5" thickBot="1" x14ac:dyDescent="0.25">
      <c r="A17" s="15" t="s">
        <v>28</v>
      </c>
      <c r="C17">
        <f>COUNT(C21:C1247)</f>
        <v>44</v>
      </c>
    </row>
    <row r="18" spans="1:19" ht="14.25" thickTop="1" thickBot="1" x14ac:dyDescent="0.25">
      <c r="A18" s="6" t="s">
        <v>23</v>
      </c>
      <c r="C18" s="3">
        <f ca="1">+C15</f>
        <v>59716.573155249207</v>
      </c>
      <c r="D18" s="4">
        <f ca="1">+C16</f>
        <v>3.332816718031157</v>
      </c>
      <c r="E18" s="30">
        <f>R19</f>
        <v>39</v>
      </c>
    </row>
    <row r="19" spans="1:19" ht="14.25" thickTop="1" thickBot="1" x14ac:dyDescent="0.25">
      <c r="A19" s="6" t="s">
        <v>24</v>
      </c>
      <c r="C19" s="3">
        <f ca="1">+D15</f>
        <v>59716.135172757597</v>
      </c>
      <c r="D19" s="4">
        <f ca="1">+D16</f>
        <v>3.3327305218681231</v>
      </c>
      <c r="E19" s="30">
        <f>S19</f>
        <v>5</v>
      </c>
      <c r="R19">
        <f>COUNT(R21:R322)</f>
        <v>39</v>
      </c>
      <c r="S19">
        <f>COUNT(S21:S322)</f>
        <v>5</v>
      </c>
    </row>
    <row r="20" spans="1:19" ht="14.25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70</v>
      </c>
      <c r="I20" s="8" t="s">
        <v>73</v>
      </c>
      <c r="J20" s="8" t="s">
        <v>67</v>
      </c>
      <c r="K20" s="8" t="s">
        <v>65</v>
      </c>
      <c r="L20" s="8" t="s">
        <v>233</v>
      </c>
      <c r="M20" s="8" t="s">
        <v>234</v>
      </c>
      <c r="N20" s="8" t="s">
        <v>235</v>
      </c>
      <c r="O20" s="8" t="s">
        <v>25</v>
      </c>
      <c r="P20" s="7" t="s">
        <v>26</v>
      </c>
      <c r="Q20" s="5" t="s">
        <v>16</v>
      </c>
      <c r="R20" s="7" t="s">
        <v>21</v>
      </c>
      <c r="S20" s="7" t="s">
        <v>22</v>
      </c>
    </row>
    <row r="21" spans="1:19" x14ac:dyDescent="0.2">
      <c r="A21" s="58" t="s">
        <v>236</v>
      </c>
      <c r="B21" s="63" t="s">
        <v>47</v>
      </c>
      <c r="C21" s="58">
        <v>38906.455000000002</v>
      </c>
      <c r="D21" s="58" t="s">
        <v>73</v>
      </c>
      <c r="E21">
        <f t="shared" ref="E21:E59" si="0">+(C21-C$7)/C$8</f>
        <v>-437.00144712242258</v>
      </c>
      <c r="F21">
        <f t="shared" ref="F21:F62" si="1">ROUND(2*E21,0)/2</f>
        <v>-437</v>
      </c>
      <c r="G21">
        <f t="shared" ref="G21:G59" si="2">+C21-(C$7+F21*C$8)</f>
        <v>-4.823000002943445E-3</v>
      </c>
      <c r="I21">
        <f>+G21</f>
        <v>-4.823000002943445E-3</v>
      </c>
      <c r="O21">
        <f t="shared" ref="O21:O59" ca="1" si="3">+C$11+C$12*$F21</f>
        <v>5.7448626550732559E-3</v>
      </c>
      <c r="P21">
        <f t="shared" ref="P21:P59" ca="1" si="4">+D$11+D$12*$F21</f>
        <v>0.10597121303952972</v>
      </c>
      <c r="Q21" s="2">
        <f t="shared" ref="Q21:Q59" si="5">+C21-15018.5</f>
        <v>23887.955000000002</v>
      </c>
      <c r="R21">
        <f t="shared" ref="R21:R32" si="6">G21</f>
        <v>-4.823000002943445E-3</v>
      </c>
    </row>
    <row r="22" spans="1:19" x14ac:dyDescent="0.2">
      <c r="A22" s="10" t="s">
        <v>14</v>
      </c>
      <c r="B22" s="62"/>
      <c r="C22" s="11">
        <v>40362.902600000001</v>
      </c>
      <c r="D22" s="11" t="s">
        <v>27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3.8736422707266981E-3</v>
      </c>
      <c r="P22">
        <f t="shared" ca="1" si="4"/>
        <v>6.6432269409297084E-2</v>
      </c>
      <c r="Q22" s="2">
        <f t="shared" si="5"/>
        <v>25344.402600000001</v>
      </c>
      <c r="R22">
        <f t="shared" si="6"/>
        <v>0</v>
      </c>
    </row>
    <row r="23" spans="1:19" x14ac:dyDescent="0.2">
      <c r="A23" s="10" t="s">
        <v>45</v>
      </c>
      <c r="B23" s="62"/>
      <c r="C23" s="11">
        <v>40362.906999999999</v>
      </c>
      <c r="D23" s="11"/>
      <c r="E23">
        <f t="shared" si="0"/>
        <v>1.320202914583776E-3</v>
      </c>
      <c r="F23">
        <f t="shared" si="1"/>
        <v>0</v>
      </c>
      <c r="G23">
        <f t="shared" si="2"/>
        <v>4.3999999979860149E-3</v>
      </c>
      <c r="J23">
        <f>+G23</f>
        <v>4.3999999979860149E-3</v>
      </c>
      <c r="O23">
        <f t="shared" ca="1" si="3"/>
        <v>3.8736422707266981E-3</v>
      </c>
      <c r="P23">
        <f t="shared" ca="1" si="4"/>
        <v>6.6432269409297084E-2</v>
      </c>
      <c r="Q23" s="2">
        <f t="shared" si="5"/>
        <v>25344.406999999999</v>
      </c>
      <c r="R23">
        <f t="shared" si="6"/>
        <v>4.3999999979860149E-3</v>
      </c>
    </row>
    <row r="24" spans="1:19" x14ac:dyDescent="0.2">
      <c r="A24" s="10" t="s">
        <v>45</v>
      </c>
      <c r="B24" s="62"/>
      <c r="C24" s="11">
        <v>41682.696000000004</v>
      </c>
      <c r="D24" s="11"/>
      <c r="E24">
        <f t="shared" si="0"/>
        <v>395.99888502862956</v>
      </c>
      <c r="F24">
        <f t="shared" si="1"/>
        <v>396</v>
      </c>
      <c r="G24">
        <f t="shared" si="2"/>
        <v>-3.7159999992582016E-3</v>
      </c>
      <c r="J24">
        <f>+G24</f>
        <v>-3.7159999992582016E-3</v>
      </c>
      <c r="O24">
        <f t="shared" ca="1" si="3"/>
        <v>2.1779826089389706E-3</v>
      </c>
      <c r="P24">
        <f t="shared" ca="1" si="4"/>
        <v>3.0602929186019916E-2</v>
      </c>
      <c r="Q24" s="2">
        <f t="shared" si="5"/>
        <v>26664.196000000004</v>
      </c>
      <c r="R24">
        <f t="shared" si="6"/>
        <v>-3.7159999992582016E-3</v>
      </c>
    </row>
    <row r="25" spans="1:19" x14ac:dyDescent="0.2">
      <c r="A25" s="10" t="s">
        <v>45</v>
      </c>
      <c r="B25" s="62"/>
      <c r="C25" s="11">
        <v>42152.625999999997</v>
      </c>
      <c r="D25" s="11"/>
      <c r="E25">
        <f t="shared" si="0"/>
        <v>536.99955683188364</v>
      </c>
      <c r="F25">
        <f t="shared" si="1"/>
        <v>537</v>
      </c>
      <c r="G25">
        <f t="shared" si="2"/>
        <v>-1.4770000052521937E-3</v>
      </c>
      <c r="J25">
        <f>+G25</f>
        <v>-1.4770000052521937E-3</v>
      </c>
      <c r="O25">
        <f t="shared" ca="1" si="3"/>
        <v>1.5742250020903104E-3</v>
      </c>
      <c r="P25">
        <f t="shared" ca="1" si="4"/>
        <v>1.7845512591368191E-2</v>
      </c>
      <c r="Q25" s="2">
        <f t="shared" si="5"/>
        <v>27134.125999999997</v>
      </c>
      <c r="R25">
        <f t="shared" si="6"/>
        <v>-1.4770000052521937E-3</v>
      </c>
    </row>
    <row r="26" spans="1:19" x14ac:dyDescent="0.2">
      <c r="A26" s="58" t="s">
        <v>99</v>
      </c>
      <c r="B26" s="63" t="s">
        <v>47</v>
      </c>
      <c r="C26" s="58">
        <v>46212.014999999999</v>
      </c>
      <c r="D26" s="58" t="s">
        <v>73</v>
      </c>
      <c r="E26">
        <f t="shared" si="0"/>
        <v>1755.0034640324211</v>
      </c>
      <c r="F26">
        <f t="shared" si="1"/>
        <v>1755</v>
      </c>
      <c r="G26">
        <f t="shared" si="2"/>
        <v>1.1545000001206063E-2</v>
      </c>
      <c r="I26">
        <f>+G26</f>
        <v>1.1545000001206063E-2</v>
      </c>
      <c r="O26">
        <f t="shared" ca="1" si="3"/>
        <v>-3.641213048559821E-3</v>
      </c>
      <c r="P26">
        <f t="shared" ca="1" si="4"/>
        <v>-9.2356852034772202E-2</v>
      </c>
      <c r="Q26" s="2">
        <f t="shared" si="5"/>
        <v>31193.514999999999</v>
      </c>
      <c r="R26">
        <f t="shared" si="6"/>
        <v>1.1545000001206063E-2</v>
      </c>
    </row>
    <row r="27" spans="1:19" x14ac:dyDescent="0.2">
      <c r="A27" s="10" t="s">
        <v>43</v>
      </c>
      <c r="B27" s="62"/>
      <c r="C27" s="11">
        <v>47678.451999999997</v>
      </c>
      <c r="D27" s="11"/>
      <c r="E27">
        <f t="shared" si="0"/>
        <v>2195.0021918368843</v>
      </c>
      <c r="F27">
        <f t="shared" si="1"/>
        <v>2195</v>
      </c>
      <c r="G27">
        <f t="shared" si="2"/>
        <v>7.3049999991781078E-3</v>
      </c>
      <c r="I27">
        <f>+G27</f>
        <v>7.3049999991781078E-3</v>
      </c>
      <c r="O27">
        <f t="shared" ca="1" si="3"/>
        <v>-5.5252793394350731E-3</v>
      </c>
      <c r="P27">
        <f t="shared" ca="1" si="4"/>
        <v>-0.13216723006063572</v>
      </c>
      <c r="Q27" s="2">
        <f t="shared" si="5"/>
        <v>32659.951999999997</v>
      </c>
      <c r="R27">
        <f t="shared" si="6"/>
        <v>7.3049999991781078E-3</v>
      </c>
    </row>
    <row r="28" spans="1:19" x14ac:dyDescent="0.2">
      <c r="A28" s="10" t="s">
        <v>46</v>
      </c>
      <c r="B28" s="31" t="s">
        <v>47</v>
      </c>
      <c r="C28" s="11">
        <v>48341.665159999997</v>
      </c>
      <c r="D28" s="11"/>
      <c r="E28">
        <f t="shared" si="0"/>
        <v>2393.9967252966767</v>
      </c>
      <c r="F28">
        <f t="shared" si="1"/>
        <v>2394</v>
      </c>
      <c r="G28">
        <f t="shared" si="2"/>
        <v>-1.0914000005868729E-2</v>
      </c>
      <c r="J28">
        <f>+G28</f>
        <v>-1.0914000005868729E-2</v>
      </c>
      <c r="O28">
        <f t="shared" ca="1" si="3"/>
        <v>-6.3773911391718351E-3</v>
      </c>
      <c r="P28">
        <f t="shared" ca="1" si="4"/>
        <v>-0.15017237830415125</v>
      </c>
      <c r="Q28" s="2">
        <f t="shared" si="5"/>
        <v>33323.165159999997</v>
      </c>
      <c r="R28">
        <f t="shared" si="6"/>
        <v>-1.0914000005868729E-2</v>
      </c>
    </row>
    <row r="29" spans="1:19" x14ac:dyDescent="0.2">
      <c r="A29" s="10" t="s">
        <v>46</v>
      </c>
      <c r="B29" s="62"/>
      <c r="C29" s="11">
        <v>48341.665200000003</v>
      </c>
      <c r="D29" s="11"/>
      <c r="E29">
        <f t="shared" si="0"/>
        <v>2393.9967372985234</v>
      </c>
      <c r="F29">
        <f t="shared" si="1"/>
        <v>2394</v>
      </c>
      <c r="G29">
        <f t="shared" si="2"/>
        <v>-1.0873999999603257E-2</v>
      </c>
      <c r="J29">
        <f>+G29</f>
        <v>-1.0873999999603257E-2</v>
      </c>
      <c r="O29">
        <f t="shared" ca="1" si="3"/>
        <v>-6.3773911391718351E-3</v>
      </c>
      <c r="P29">
        <f t="shared" ca="1" si="4"/>
        <v>-0.15017237830415125</v>
      </c>
      <c r="Q29" s="2">
        <f t="shared" si="5"/>
        <v>33323.165200000003</v>
      </c>
      <c r="R29">
        <f t="shared" si="6"/>
        <v>-1.0873999999603257E-2</v>
      </c>
    </row>
    <row r="30" spans="1:19" x14ac:dyDescent="0.2">
      <c r="A30" s="10" t="s">
        <v>44</v>
      </c>
      <c r="B30" s="62"/>
      <c r="C30" s="11">
        <v>48518.309000000001</v>
      </c>
      <c r="D30" s="11"/>
      <c r="E30">
        <f t="shared" si="0"/>
        <v>2446.9980235962266</v>
      </c>
      <c r="F30">
        <f t="shared" si="1"/>
        <v>2447</v>
      </c>
      <c r="G30">
        <f t="shared" si="2"/>
        <v>-6.587000003491994E-3</v>
      </c>
      <c r="I30">
        <f>+G30</f>
        <v>-6.587000003491994E-3</v>
      </c>
      <c r="O30">
        <f t="shared" ca="1" si="3"/>
        <v>-6.6043354878454457E-3</v>
      </c>
      <c r="P30">
        <f t="shared" ca="1" si="4"/>
        <v>-0.15496771929363029</v>
      </c>
      <c r="Q30" s="2">
        <f t="shared" si="5"/>
        <v>33499.809000000001</v>
      </c>
      <c r="R30">
        <f t="shared" si="6"/>
        <v>-6.587000003491994E-3</v>
      </c>
    </row>
    <row r="31" spans="1:19" x14ac:dyDescent="0.2">
      <c r="A31" s="10" t="s">
        <v>40</v>
      </c>
      <c r="B31" s="62"/>
      <c r="C31" s="11">
        <v>49041.563000000002</v>
      </c>
      <c r="D31" s="11"/>
      <c r="E31">
        <f t="shared" si="0"/>
        <v>2603.9983545470941</v>
      </c>
      <c r="F31">
        <f t="shared" si="1"/>
        <v>2604</v>
      </c>
      <c r="G31">
        <f t="shared" si="2"/>
        <v>-5.4840000011608936E-3</v>
      </c>
      <c r="I31">
        <f>+G31</f>
        <v>-5.4840000011608936E-3</v>
      </c>
      <c r="O31">
        <f t="shared" ca="1" si="3"/>
        <v>-7.276604596180479E-3</v>
      </c>
      <c r="P31">
        <f t="shared" ca="1" si="4"/>
        <v>-0.1691727859983134</v>
      </c>
      <c r="Q31" s="2">
        <f t="shared" si="5"/>
        <v>34023.063000000002</v>
      </c>
      <c r="R31">
        <f t="shared" si="6"/>
        <v>-5.4840000011608936E-3</v>
      </c>
    </row>
    <row r="32" spans="1:19" x14ac:dyDescent="0.2">
      <c r="A32" s="10" t="s">
        <v>40</v>
      </c>
      <c r="B32" s="62"/>
      <c r="C32" s="11">
        <v>49041.565999999999</v>
      </c>
      <c r="D32" s="11"/>
      <c r="E32">
        <f t="shared" si="0"/>
        <v>2603.9992546854446</v>
      </c>
      <c r="F32">
        <f t="shared" si="1"/>
        <v>2604</v>
      </c>
      <c r="G32">
        <f t="shared" si="2"/>
        <v>-2.484000004187692E-3</v>
      </c>
      <c r="I32">
        <f>+G32</f>
        <v>-2.484000004187692E-3</v>
      </c>
      <c r="O32">
        <f t="shared" ca="1" si="3"/>
        <v>-7.276604596180479E-3</v>
      </c>
      <c r="P32">
        <f t="shared" ca="1" si="4"/>
        <v>-0.1691727859983134</v>
      </c>
      <c r="Q32" s="2">
        <f t="shared" si="5"/>
        <v>34023.065999999999</v>
      </c>
      <c r="R32">
        <f t="shared" si="6"/>
        <v>-2.484000004187692E-3</v>
      </c>
    </row>
    <row r="33" spans="1:19" x14ac:dyDescent="0.2">
      <c r="A33" s="10" t="s">
        <v>48</v>
      </c>
      <c r="B33" s="62"/>
      <c r="C33" s="11">
        <v>49099.73</v>
      </c>
      <c r="D33" s="11"/>
      <c r="E33">
        <f t="shared" si="0"/>
        <v>2621.4511370397636</v>
      </c>
      <c r="F33">
        <f t="shared" si="1"/>
        <v>2621.5</v>
      </c>
      <c r="G33">
        <f t="shared" si="2"/>
        <v>-0.16285149999748683</v>
      </c>
      <c r="J33">
        <f>+G33</f>
        <v>-0.16285149999748683</v>
      </c>
      <c r="O33">
        <f t="shared" ca="1" si="3"/>
        <v>-7.3515390509311992E-3</v>
      </c>
      <c r="P33">
        <f t="shared" ca="1" si="4"/>
        <v>-0.17075615330616026</v>
      </c>
      <c r="Q33" s="2">
        <f t="shared" si="5"/>
        <v>34081.230000000003</v>
      </c>
      <c r="S33">
        <f>G33</f>
        <v>-0.16285149999748683</v>
      </c>
    </row>
    <row r="34" spans="1:19" x14ac:dyDescent="0.2">
      <c r="A34" s="10" t="s">
        <v>41</v>
      </c>
      <c r="B34" s="62"/>
      <c r="C34" s="11">
        <v>49481.498</v>
      </c>
      <c r="D34" s="11"/>
      <c r="E34">
        <f t="shared" si="0"/>
        <v>2735.999143068289</v>
      </c>
      <c r="F34">
        <f t="shared" si="1"/>
        <v>2736</v>
      </c>
      <c r="G34">
        <f t="shared" si="2"/>
        <v>-2.8559999991557561E-3</v>
      </c>
      <c r="I34">
        <f>+G34</f>
        <v>-2.8559999991557561E-3</v>
      </c>
      <c r="O34">
        <f t="shared" ca="1" si="3"/>
        <v>-7.8418244834430554E-3</v>
      </c>
      <c r="P34">
        <f t="shared" ca="1" si="4"/>
        <v>-0.18111589940607245</v>
      </c>
      <c r="Q34" s="2">
        <f t="shared" si="5"/>
        <v>34462.998</v>
      </c>
      <c r="R34">
        <f t="shared" ref="R34:R40" si="7">G34</f>
        <v>-2.8559999991557561E-3</v>
      </c>
    </row>
    <row r="35" spans="1:19" x14ac:dyDescent="0.2">
      <c r="A35" s="10" t="s">
        <v>41</v>
      </c>
      <c r="B35" s="62"/>
      <c r="C35" s="11">
        <v>49481.498899999999</v>
      </c>
      <c r="D35" s="11"/>
      <c r="E35">
        <f t="shared" si="0"/>
        <v>2735.9994131097942</v>
      </c>
      <c r="F35">
        <f t="shared" si="1"/>
        <v>2736</v>
      </c>
      <c r="G35">
        <f t="shared" si="2"/>
        <v>-1.9560000000637956E-3</v>
      </c>
      <c r="I35">
        <f>+G35</f>
        <v>-1.9560000000637956E-3</v>
      </c>
      <c r="O35">
        <f t="shared" ca="1" si="3"/>
        <v>-7.8418244834430554E-3</v>
      </c>
      <c r="P35">
        <f t="shared" ca="1" si="4"/>
        <v>-0.18111589940607245</v>
      </c>
      <c r="Q35" s="2">
        <f t="shared" si="5"/>
        <v>34462.998899999999</v>
      </c>
      <c r="R35">
        <f t="shared" si="7"/>
        <v>-1.9560000000637956E-3</v>
      </c>
    </row>
    <row r="36" spans="1:19" x14ac:dyDescent="0.2">
      <c r="A36" s="10" t="s">
        <v>42</v>
      </c>
      <c r="B36" s="62"/>
      <c r="C36" s="11">
        <v>49511.493499999997</v>
      </c>
      <c r="D36" s="11">
        <v>1E-3</v>
      </c>
      <c r="E36">
        <f t="shared" si="0"/>
        <v>2744.9991763734074</v>
      </c>
      <c r="F36">
        <f t="shared" si="1"/>
        <v>2745</v>
      </c>
      <c r="G36">
        <f t="shared" si="2"/>
        <v>-2.7450000052340329E-3</v>
      </c>
      <c r="I36">
        <f>+G36</f>
        <v>-2.7450000052340329E-3</v>
      </c>
      <c r="O36">
        <f t="shared" ca="1" si="3"/>
        <v>-7.8803622030291388E-3</v>
      </c>
      <c r="P36">
        <f t="shared" ca="1" si="4"/>
        <v>-0.18193020259296513</v>
      </c>
      <c r="Q36" s="2">
        <f t="shared" si="5"/>
        <v>34492.993499999997</v>
      </c>
      <c r="R36">
        <f t="shared" si="7"/>
        <v>-2.7450000052340329E-3</v>
      </c>
    </row>
    <row r="37" spans="1:19" x14ac:dyDescent="0.2">
      <c r="A37" s="40" t="s">
        <v>60</v>
      </c>
      <c r="B37" s="41" t="s">
        <v>47</v>
      </c>
      <c r="C37" s="42">
        <v>50574.646999999997</v>
      </c>
      <c r="D37" s="42"/>
      <c r="E37">
        <f t="shared" si="0"/>
        <v>3063.9942559171332</v>
      </c>
      <c r="F37">
        <f t="shared" si="1"/>
        <v>3064</v>
      </c>
      <c r="G37">
        <f t="shared" si="2"/>
        <v>-1.9144000005326234E-2</v>
      </c>
      <c r="K37">
        <f>+G37</f>
        <v>-1.9144000005326234E-2</v>
      </c>
      <c r="O37">
        <f t="shared" ca="1" si="3"/>
        <v>-9.2463102639136971E-3</v>
      </c>
      <c r="P37">
        <f t="shared" ca="1" si="4"/>
        <v>-0.21079272666171617</v>
      </c>
      <c r="Q37" s="2">
        <f t="shared" si="5"/>
        <v>35556.146999999997</v>
      </c>
      <c r="R37">
        <f t="shared" si="7"/>
        <v>-1.9144000005326234E-2</v>
      </c>
    </row>
    <row r="38" spans="1:19" x14ac:dyDescent="0.2">
      <c r="A38" s="10" t="s">
        <v>49</v>
      </c>
      <c r="B38" s="31" t="s">
        <v>47</v>
      </c>
      <c r="C38" s="32">
        <v>52054.430099999998</v>
      </c>
      <c r="D38" s="32">
        <v>1.9E-3</v>
      </c>
      <c r="E38">
        <f t="shared" si="0"/>
        <v>3507.9974292048678</v>
      </c>
      <c r="F38">
        <f t="shared" si="1"/>
        <v>3508</v>
      </c>
      <c r="G38">
        <f t="shared" si="2"/>
        <v>-8.5680000047432259E-3</v>
      </c>
      <c r="J38">
        <f>+G38</f>
        <v>-8.5680000047432259E-3</v>
      </c>
      <c r="O38">
        <f t="shared" ca="1" si="3"/>
        <v>-1.1147504430160543E-2</v>
      </c>
      <c r="P38">
        <f t="shared" ca="1" si="4"/>
        <v>-0.25096501721508757</v>
      </c>
      <c r="Q38" s="2">
        <f t="shared" si="5"/>
        <v>37035.930099999998</v>
      </c>
      <c r="R38">
        <f t="shared" si="7"/>
        <v>-8.5680000047432259E-3</v>
      </c>
    </row>
    <row r="39" spans="1:19" x14ac:dyDescent="0.2">
      <c r="A39" s="33" t="s">
        <v>49</v>
      </c>
      <c r="B39" s="34" t="s">
        <v>47</v>
      </c>
      <c r="C39" s="35">
        <v>52454.371099999997</v>
      </c>
      <c r="D39" s="35">
        <v>8.0000000000000004E-4</v>
      </c>
      <c r="E39" s="33">
        <f t="shared" si="0"/>
        <v>3627.9981733192376</v>
      </c>
      <c r="F39">
        <f t="shared" si="1"/>
        <v>3628</v>
      </c>
      <c r="G39">
        <f t="shared" si="2"/>
        <v>-6.0880000019096769E-3</v>
      </c>
      <c r="J39">
        <f>+G39</f>
        <v>-6.0880000019096769E-3</v>
      </c>
      <c r="O39">
        <f t="shared" ca="1" si="3"/>
        <v>-1.166134069130834E-2</v>
      </c>
      <c r="P39">
        <f t="shared" ca="1" si="4"/>
        <v>-0.26182239304032306</v>
      </c>
      <c r="Q39" s="2">
        <f t="shared" si="5"/>
        <v>37435.871099999997</v>
      </c>
      <c r="R39">
        <f t="shared" si="7"/>
        <v>-6.0880000019096769E-3</v>
      </c>
    </row>
    <row r="40" spans="1:19" x14ac:dyDescent="0.2">
      <c r="A40" s="36" t="s">
        <v>50</v>
      </c>
      <c r="B40" s="37" t="s">
        <v>47</v>
      </c>
      <c r="C40" s="36">
        <v>52757.652399999999</v>
      </c>
      <c r="D40" s="36">
        <v>1E-3</v>
      </c>
      <c r="E40" s="33">
        <f t="shared" si="0"/>
        <v>3718.996549769699</v>
      </c>
      <c r="F40">
        <f t="shared" si="1"/>
        <v>3719</v>
      </c>
      <c r="G40">
        <f t="shared" si="2"/>
        <v>-1.1499000000185333E-2</v>
      </c>
      <c r="K40">
        <f>+G40</f>
        <v>-1.1499000000185333E-2</v>
      </c>
      <c r="O40">
        <f t="shared" ca="1" si="3"/>
        <v>-1.2050999856012084E-2</v>
      </c>
      <c r="P40">
        <f t="shared" ca="1" si="4"/>
        <v>-0.27005590304112664</v>
      </c>
      <c r="Q40" s="2">
        <f t="shared" si="5"/>
        <v>37739.152399999999</v>
      </c>
      <c r="R40">
        <f t="shared" si="7"/>
        <v>-1.1499000000185333E-2</v>
      </c>
    </row>
    <row r="41" spans="1:19" x14ac:dyDescent="0.2">
      <c r="A41" s="12" t="s">
        <v>52</v>
      </c>
      <c r="B41" s="39" t="s">
        <v>53</v>
      </c>
      <c r="C41" s="38">
        <v>52815.688600000001</v>
      </c>
      <c r="D41" s="38">
        <v>1.5E-3</v>
      </c>
      <c r="E41" s="33">
        <f t="shared" si="0"/>
        <v>3736.4100862302535</v>
      </c>
      <c r="F41">
        <f t="shared" si="1"/>
        <v>3736.5</v>
      </c>
      <c r="G41">
        <f t="shared" si="2"/>
        <v>-0.29966650000278605</v>
      </c>
      <c r="K41">
        <f>+G41</f>
        <v>-0.29966650000278605</v>
      </c>
      <c r="O41">
        <f t="shared" ca="1" si="3"/>
        <v>-1.2125934310762806E-2</v>
      </c>
      <c r="P41">
        <f t="shared" ca="1" si="4"/>
        <v>-0.2716392703489735</v>
      </c>
      <c r="Q41" s="2">
        <f t="shared" si="5"/>
        <v>37797.188600000001</v>
      </c>
      <c r="S41">
        <f>G41</f>
        <v>-0.29966650000278605</v>
      </c>
    </row>
    <row r="42" spans="1:19" x14ac:dyDescent="0.2">
      <c r="A42" s="58" t="s">
        <v>168</v>
      </c>
      <c r="B42" s="63" t="s">
        <v>47</v>
      </c>
      <c r="C42" s="58">
        <v>53494.197200000002</v>
      </c>
      <c r="D42" s="58" t="s">
        <v>73</v>
      </c>
      <c r="E42">
        <f t="shared" si="0"/>
        <v>3939.9939570712022</v>
      </c>
      <c r="F42">
        <f t="shared" si="1"/>
        <v>3940</v>
      </c>
      <c r="G42">
        <f t="shared" si="2"/>
        <v>-2.0140000000537839E-2</v>
      </c>
      <c r="I42">
        <f>+G42</f>
        <v>-2.0140000000537839E-2</v>
      </c>
      <c r="O42">
        <f t="shared" ca="1" si="3"/>
        <v>-1.299731497029261E-2</v>
      </c>
      <c r="P42">
        <f t="shared" ca="1" si="4"/>
        <v>-0.29005157018593536</v>
      </c>
      <c r="Q42" s="2">
        <f t="shared" si="5"/>
        <v>38475.697200000002</v>
      </c>
      <c r="R42">
        <f t="shared" ref="R42:R47" si="8">G42</f>
        <v>-2.0140000000537839E-2</v>
      </c>
    </row>
    <row r="43" spans="1:19" x14ac:dyDescent="0.2">
      <c r="A43" s="12" t="s">
        <v>56</v>
      </c>
      <c r="B43" s="39" t="s">
        <v>47</v>
      </c>
      <c r="C43" s="38">
        <v>53817.483569999997</v>
      </c>
      <c r="D43" s="38">
        <v>2.0000000000000001E-4</v>
      </c>
      <c r="E43" s="33">
        <f t="shared" si="0"/>
        <v>4036.9947770972385</v>
      </c>
      <c r="F43">
        <f t="shared" si="1"/>
        <v>4037</v>
      </c>
      <c r="G43">
        <f t="shared" si="2"/>
        <v>-1.7407000006642193E-2</v>
      </c>
      <c r="K43">
        <f>+G43</f>
        <v>-1.7407000006642193E-2</v>
      </c>
      <c r="O43">
        <f t="shared" ca="1" si="3"/>
        <v>-1.3412665948053744E-2</v>
      </c>
      <c r="P43">
        <f t="shared" ca="1" si="4"/>
        <v>-0.29882794897800075</v>
      </c>
      <c r="Q43" s="2">
        <f t="shared" si="5"/>
        <v>38798.983569999997</v>
      </c>
      <c r="R43">
        <f t="shared" si="8"/>
        <v>-1.7407000006642193E-2</v>
      </c>
    </row>
    <row r="44" spans="1:19" x14ac:dyDescent="0.2">
      <c r="A44" s="12" t="s">
        <v>51</v>
      </c>
      <c r="B44" s="34"/>
      <c r="C44" s="38">
        <v>53897.477700000003</v>
      </c>
      <c r="D44" s="38">
        <v>1.6999999999999999E-3</v>
      </c>
      <c r="E44" s="33">
        <f t="shared" si="0"/>
        <v>4060.9967051935887</v>
      </c>
      <c r="F44">
        <f t="shared" si="1"/>
        <v>4061</v>
      </c>
      <c r="G44">
        <f t="shared" si="2"/>
        <v>-1.0980999999446794E-2</v>
      </c>
      <c r="J44">
        <f>+G44</f>
        <v>-1.0980999999446794E-2</v>
      </c>
      <c r="O44">
        <f t="shared" ca="1" si="3"/>
        <v>-1.3515433200283304E-2</v>
      </c>
      <c r="P44">
        <f t="shared" ca="1" si="4"/>
        <v>-0.30099942414304787</v>
      </c>
      <c r="Q44" s="2">
        <f t="shared" si="5"/>
        <v>38878.977700000003</v>
      </c>
      <c r="R44">
        <f t="shared" si="8"/>
        <v>-1.0980999999446794E-2</v>
      </c>
    </row>
    <row r="45" spans="1:19" x14ac:dyDescent="0.2">
      <c r="A45" s="12" t="s">
        <v>56</v>
      </c>
      <c r="B45" s="39" t="s">
        <v>47</v>
      </c>
      <c r="C45" s="38">
        <v>54237.420270000002</v>
      </c>
      <c r="D45" s="38">
        <v>2.9999999999999997E-4</v>
      </c>
      <c r="E45" s="33">
        <f t="shared" si="0"/>
        <v>4162.9951533550711</v>
      </c>
      <c r="F45">
        <f t="shared" si="1"/>
        <v>4163</v>
      </c>
      <c r="G45">
        <f t="shared" si="2"/>
        <v>-1.6152999996847939E-2</v>
      </c>
      <c r="K45">
        <f t="shared" ref="K45:K55" si="9">+G45</f>
        <v>-1.6152999996847939E-2</v>
      </c>
      <c r="O45">
        <f t="shared" ca="1" si="3"/>
        <v>-1.3952194022258932E-2</v>
      </c>
      <c r="P45">
        <f t="shared" ca="1" si="4"/>
        <v>-0.31022819359449805</v>
      </c>
      <c r="Q45" s="2">
        <f t="shared" si="5"/>
        <v>39218.920270000002</v>
      </c>
      <c r="R45">
        <f t="shared" si="8"/>
        <v>-1.6152999996847939E-2</v>
      </c>
    </row>
    <row r="46" spans="1:19" x14ac:dyDescent="0.2">
      <c r="A46" s="12" t="s">
        <v>56</v>
      </c>
      <c r="B46" s="39" t="s">
        <v>47</v>
      </c>
      <c r="C46" s="38">
        <v>54237.42067</v>
      </c>
      <c r="D46" s="38">
        <v>5.0000000000000001E-4</v>
      </c>
      <c r="E46" s="33">
        <f t="shared" si="0"/>
        <v>4162.9952733735172</v>
      </c>
      <c r="F46">
        <f t="shared" si="1"/>
        <v>4163</v>
      </c>
      <c r="G46">
        <f t="shared" si="2"/>
        <v>-1.5752999999676831E-2</v>
      </c>
      <c r="K46">
        <f t="shared" si="9"/>
        <v>-1.5752999999676831E-2</v>
      </c>
      <c r="O46">
        <f t="shared" ca="1" si="3"/>
        <v>-1.3952194022258932E-2</v>
      </c>
      <c r="P46">
        <f t="shared" ca="1" si="4"/>
        <v>-0.31022819359449805</v>
      </c>
      <c r="Q46" s="2">
        <f t="shared" si="5"/>
        <v>39218.92067</v>
      </c>
      <c r="R46">
        <f t="shared" si="8"/>
        <v>-1.5752999999676831E-2</v>
      </c>
    </row>
    <row r="47" spans="1:19" x14ac:dyDescent="0.2">
      <c r="A47" s="18" t="s">
        <v>56</v>
      </c>
      <c r="B47" s="13" t="s">
        <v>47</v>
      </c>
      <c r="C47" s="14">
        <v>54237.421269999999</v>
      </c>
      <c r="D47" s="14">
        <v>2.9999999999999997E-4</v>
      </c>
      <c r="E47">
        <f t="shared" si="0"/>
        <v>4162.9954534011868</v>
      </c>
      <c r="F47">
        <f t="shared" si="1"/>
        <v>4163</v>
      </c>
      <c r="G47">
        <f t="shared" si="2"/>
        <v>-1.5153000000282191E-2</v>
      </c>
      <c r="K47">
        <f t="shared" si="9"/>
        <v>-1.5153000000282191E-2</v>
      </c>
      <c r="O47">
        <f t="shared" ca="1" si="3"/>
        <v>-1.3952194022258932E-2</v>
      </c>
      <c r="P47">
        <f t="shared" ca="1" si="4"/>
        <v>-0.31022819359449805</v>
      </c>
      <c r="Q47" s="2">
        <f t="shared" si="5"/>
        <v>39218.921269999999</v>
      </c>
      <c r="R47">
        <f t="shared" si="8"/>
        <v>-1.5153000000282191E-2</v>
      </c>
    </row>
    <row r="48" spans="1:19" x14ac:dyDescent="0.2">
      <c r="A48" s="18" t="s">
        <v>56</v>
      </c>
      <c r="B48" s="13" t="s">
        <v>53</v>
      </c>
      <c r="C48" s="14">
        <v>54275.457670000003</v>
      </c>
      <c r="D48" s="14">
        <v>5.1000000000000004E-3</v>
      </c>
      <c r="E48">
        <f t="shared" si="0"/>
        <v>4174.4081275292019</v>
      </c>
      <c r="F48">
        <f t="shared" si="1"/>
        <v>4174.5</v>
      </c>
      <c r="G48">
        <f t="shared" si="2"/>
        <v>-0.30619449999358039</v>
      </c>
      <c r="K48">
        <f t="shared" si="9"/>
        <v>-0.30619449999358039</v>
      </c>
      <c r="O48">
        <f t="shared" ca="1" si="3"/>
        <v>-1.400143666395226E-2</v>
      </c>
      <c r="P48">
        <f t="shared" ca="1" si="4"/>
        <v>-0.3112686921110831</v>
      </c>
      <c r="Q48" s="2">
        <f t="shared" si="5"/>
        <v>39256.957670000003</v>
      </c>
      <c r="S48">
        <f>G48</f>
        <v>-0.30619449999358039</v>
      </c>
    </row>
    <row r="49" spans="1:19" x14ac:dyDescent="0.2">
      <c r="A49" s="18" t="s">
        <v>56</v>
      </c>
      <c r="B49" s="13" t="s">
        <v>53</v>
      </c>
      <c r="C49" s="14">
        <v>54275.45897</v>
      </c>
      <c r="D49" s="14">
        <v>2.3999999999999998E-3</v>
      </c>
      <c r="E49">
        <f t="shared" si="0"/>
        <v>4174.4085175891532</v>
      </c>
      <c r="F49">
        <f t="shared" si="1"/>
        <v>4174.5</v>
      </c>
      <c r="G49">
        <f t="shared" si="2"/>
        <v>-0.30489449999731733</v>
      </c>
      <c r="K49">
        <f t="shared" si="9"/>
        <v>-0.30489449999731733</v>
      </c>
      <c r="O49">
        <f t="shared" ca="1" si="3"/>
        <v>-1.400143666395226E-2</v>
      </c>
      <c r="P49">
        <f t="shared" ca="1" si="4"/>
        <v>-0.3112686921110831</v>
      </c>
      <c r="Q49" s="2">
        <f t="shared" si="5"/>
        <v>39256.95897</v>
      </c>
      <c r="S49">
        <f>G49</f>
        <v>-0.30489449999731733</v>
      </c>
    </row>
    <row r="50" spans="1:19" x14ac:dyDescent="0.2">
      <c r="A50" s="18" t="s">
        <v>56</v>
      </c>
      <c r="B50" s="13" t="s">
        <v>53</v>
      </c>
      <c r="C50" s="14">
        <v>54275.46127</v>
      </c>
      <c r="D50" s="14">
        <v>1.4E-3</v>
      </c>
      <c r="E50">
        <f t="shared" si="0"/>
        <v>4174.409207695222</v>
      </c>
      <c r="F50">
        <f t="shared" si="1"/>
        <v>4174.5</v>
      </c>
      <c r="G50">
        <f t="shared" si="2"/>
        <v>-0.30259449999721255</v>
      </c>
      <c r="K50">
        <f t="shared" si="9"/>
        <v>-0.30259449999721255</v>
      </c>
      <c r="O50">
        <f t="shared" ca="1" si="3"/>
        <v>-1.400143666395226E-2</v>
      </c>
      <c r="P50">
        <f t="shared" ca="1" si="4"/>
        <v>-0.3112686921110831</v>
      </c>
      <c r="Q50" s="2">
        <f t="shared" si="5"/>
        <v>39256.96127</v>
      </c>
      <c r="S50">
        <f>G50</f>
        <v>-0.30259449999721255</v>
      </c>
    </row>
    <row r="51" spans="1:19" x14ac:dyDescent="0.2">
      <c r="A51" s="18" t="s">
        <v>56</v>
      </c>
      <c r="B51" s="13" t="s">
        <v>47</v>
      </c>
      <c r="C51" s="14">
        <v>54307.415419999998</v>
      </c>
      <c r="D51" s="14">
        <v>8.0000000000000004E-4</v>
      </c>
      <c r="E51">
        <f t="shared" si="0"/>
        <v>4183.9969263275752</v>
      </c>
      <c r="F51">
        <f t="shared" si="1"/>
        <v>4184</v>
      </c>
      <c r="G51">
        <f t="shared" si="2"/>
        <v>-1.0244000004604459E-2</v>
      </c>
      <c r="K51">
        <f t="shared" si="9"/>
        <v>-1.0244000004604459E-2</v>
      </c>
      <c r="O51">
        <f t="shared" ca="1" si="3"/>
        <v>-1.4042115367959795E-2</v>
      </c>
      <c r="P51">
        <f t="shared" ca="1" si="4"/>
        <v>-0.31212823436391424</v>
      </c>
      <c r="Q51" s="2">
        <f t="shared" si="5"/>
        <v>39288.915419999998</v>
      </c>
      <c r="R51">
        <f t="shared" ref="R51:R60" si="10">G51</f>
        <v>-1.0244000004604459E-2</v>
      </c>
    </row>
    <row r="52" spans="1:19" x14ac:dyDescent="0.2">
      <c r="A52" s="18" t="s">
        <v>56</v>
      </c>
      <c r="B52" s="13" t="s">
        <v>47</v>
      </c>
      <c r="C52" s="14">
        <v>54307.415520000002</v>
      </c>
      <c r="D52" s="14">
        <v>4.0000000000000002E-4</v>
      </c>
      <c r="E52">
        <f t="shared" si="0"/>
        <v>4183.9969563321883</v>
      </c>
      <c r="F52">
        <f t="shared" si="1"/>
        <v>4184</v>
      </c>
      <c r="G52">
        <f t="shared" si="2"/>
        <v>-1.0143999999854714E-2</v>
      </c>
      <c r="K52">
        <f t="shared" si="9"/>
        <v>-1.0143999999854714E-2</v>
      </c>
      <c r="O52">
        <f t="shared" ca="1" si="3"/>
        <v>-1.4042115367959795E-2</v>
      </c>
      <c r="P52">
        <f t="shared" ca="1" si="4"/>
        <v>-0.31212823436391424</v>
      </c>
      <c r="Q52" s="2">
        <f t="shared" si="5"/>
        <v>39288.915520000002</v>
      </c>
      <c r="R52">
        <f t="shared" si="10"/>
        <v>-1.0143999999854714E-2</v>
      </c>
    </row>
    <row r="53" spans="1:19" x14ac:dyDescent="0.2">
      <c r="A53" t="s">
        <v>56</v>
      </c>
      <c r="B53" s="13" t="s">
        <v>47</v>
      </c>
      <c r="C53" s="14">
        <v>54307.415719999997</v>
      </c>
      <c r="D53" s="14">
        <v>6.9999999999999999E-4</v>
      </c>
      <c r="E53">
        <f t="shared" si="0"/>
        <v>4183.99701634141</v>
      </c>
      <c r="F53">
        <f t="shared" si="1"/>
        <v>4184</v>
      </c>
      <c r="G53">
        <f t="shared" si="2"/>
        <v>-9.9440000049071386E-3</v>
      </c>
      <c r="K53">
        <f t="shared" si="9"/>
        <v>-9.9440000049071386E-3</v>
      </c>
      <c r="O53">
        <f t="shared" ca="1" si="3"/>
        <v>-1.4042115367959795E-2</v>
      </c>
      <c r="P53">
        <f t="shared" ca="1" si="4"/>
        <v>-0.31212823436391424</v>
      </c>
      <c r="Q53" s="2">
        <f t="shared" si="5"/>
        <v>39288.915719999997</v>
      </c>
      <c r="R53">
        <f t="shared" si="10"/>
        <v>-9.9440000049071386E-3</v>
      </c>
    </row>
    <row r="54" spans="1:19" x14ac:dyDescent="0.2">
      <c r="A54" s="58" t="s">
        <v>215</v>
      </c>
      <c r="B54" s="63" t="s">
        <v>47</v>
      </c>
      <c r="C54" s="58">
        <v>54597.368600000002</v>
      </c>
      <c r="D54" s="58" t="s">
        <v>73</v>
      </c>
      <c r="E54">
        <f t="shared" si="0"/>
        <v>4270.9962521239513</v>
      </c>
      <c r="F54">
        <f t="shared" si="1"/>
        <v>4271</v>
      </c>
      <c r="G54">
        <f t="shared" si="2"/>
        <v>-1.2491000001318753E-2</v>
      </c>
      <c r="K54">
        <f t="shared" si="9"/>
        <v>-1.2491000001318753E-2</v>
      </c>
      <c r="O54">
        <f t="shared" ca="1" si="3"/>
        <v>-1.4414646657291946E-2</v>
      </c>
      <c r="P54">
        <f t="shared" ca="1" si="4"/>
        <v>-0.31999983183720998</v>
      </c>
      <c r="Q54" s="2">
        <f t="shared" si="5"/>
        <v>39578.868600000002</v>
      </c>
      <c r="R54">
        <f t="shared" si="10"/>
        <v>-1.2491000001318753E-2</v>
      </c>
    </row>
    <row r="55" spans="1:19" x14ac:dyDescent="0.2">
      <c r="A55" s="38" t="s">
        <v>55</v>
      </c>
      <c r="B55" s="39" t="s">
        <v>47</v>
      </c>
      <c r="C55" s="38">
        <v>54597.368640000001</v>
      </c>
      <c r="D55" s="38">
        <v>4.0000000000000002E-4</v>
      </c>
      <c r="E55" s="33">
        <f t="shared" si="0"/>
        <v>4270.9962641257962</v>
      </c>
      <c r="F55">
        <f t="shared" si="1"/>
        <v>4271</v>
      </c>
      <c r="G55">
        <f t="shared" si="2"/>
        <v>-1.2451000002329238E-2</v>
      </c>
      <c r="K55">
        <f t="shared" si="9"/>
        <v>-1.2451000002329238E-2</v>
      </c>
      <c r="O55">
        <f t="shared" ca="1" si="3"/>
        <v>-1.4414646657291946E-2</v>
      </c>
      <c r="P55">
        <f t="shared" ca="1" si="4"/>
        <v>-0.31999983183720998</v>
      </c>
      <c r="Q55" s="2">
        <f t="shared" si="5"/>
        <v>39578.868640000001</v>
      </c>
      <c r="R55">
        <f t="shared" si="10"/>
        <v>-1.2451000002329238E-2</v>
      </c>
    </row>
    <row r="56" spans="1:19" x14ac:dyDescent="0.2">
      <c r="A56" s="36" t="s">
        <v>54</v>
      </c>
      <c r="B56" s="37" t="s">
        <v>47</v>
      </c>
      <c r="C56" s="36">
        <v>54937.312700000002</v>
      </c>
      <c r="D56" s="36">
        <v>8.9999999999999998E-4</v>
      </c>
      <c r="E56" s="33">
        <f t="shared" si="0"/>
        <v>4372.9951593559936</v>
      </c>
      <c r="F56">
        <f t="shared" si="1"/>
        <v>4373</v>
      </c>
      <c r="G56">
        <f t="shared" si="2"/>
        <v>-1.6132999997353181E-2</v>
      </c>
      <c r="J56">
        <f>+G56</f>
        <v>-1.6132999997353181E-2</v>
      </c>
      <c r="O56">
        <f t="shared" ca="1" si="3"/>
        <v>-1.4851407479267574E-2</v>
      </c>
      <c r="P56">
        <f t="shared" ca="1" si="4"/>
        <v>-0.32922860128866016</v>
      </c>
      <c r="Q56" s="2">
        <f t="shared" si="5"/>
        <v>39918.812700000002</v>
      </c>
      <c r="R56">
        <f t="shared" si="10"/>
        <v>-1.6132999997353181E-2</v>
      </c>
    </row>
    <row r="57" spans="1:19" x14ac:dyDescent="0.2">
      <c r="A57" s="64" t="s">
        <v>61</v>
      </c>
      <c r="B57" s="65" t="s">
        <v>47</v>
      </c>
      <c r="C57" s="66">
        <v>55680.53501</v>
      </c>
      <c r="D57" s="66">
        <v>8.9999999999999998E-4</v>
      </c>
      <c r="E57">
        <f t="shared" si="0"/>
        <v>4595.9961276048125</v>
      </c>
      <c r="F57">
        <f t="shared" si="1"/>
        <v>4596</v>
      </c>
      <c r="G57">
        <f t="shared" si="2"/>
        <v>-1.2906000003567897E-2</v>
      </c>
      <c r="K57">
        <f>+G57</f>
        <v>-1.2906000003567897E-2</v>
      </c>
      <c r="O57">
        <f t="shared" ca="1" si="3"/>
        <v>-1.5806286531233896E-2</v>
      </c>
      <c r="P57">
        <f t="shared" ca="1" si="4"/>
        <v>-0.34940522469722279</v>
      </c>
      <c r="Q57" s="2">
        <f t="shared" si="5"/>
        <v>40662.03501</v>
      </c>
      <c r="R57">
        <f t="shared" si="10"/>
        <v>-1.2906000003567897E-2</v>
      </c>
    </row>
    <row r="58" spans="1:19" x14ac:dyDescent="0.2">
      <c r="A58" s="58" t="s">
        <v>232</v>
      </c>
      <c r="B58" s="63" t="s">
        <v>47</v>
      </c>
      <c r="C58" s="58">
        <v>56730.363799999999</v>
      </c>
      <c r="D58" s="58" t="s">
        <v>73</v>
      </c>
      <c r="E58">
        <f t="shared" si="0"/>
        <v>4910.9931796517121</v>
      </c>
      <c r="F58">
        <f t="shared" si="1"/>
        <v>4911</v>
      </c>
      <c r="G58">
        <f t="shared" si="2"/>
        <v>-2.2731000004569069E-2</v>
      </c>
      <c r="I58">
        <f>+G58</f>
        <v>-2.2731000004569069E-2</v>
      </c>
      <c r="O58">
        <f t="shared" ca="1" si="3"/>
        <v>-1.715510671674686E-2</v>
      </c>
      <c r="P58">
        <f t="shared" ca="1" si="4"/>
        <v>-0.37790583623846602</v>
      </c>
      <c r="Q58" s="2">
        <f t="shared" si="5"/>
        <v>41711.863799999999</v>
      </c>
      <c r="R58">
        <f t="shared" si="10"/>
        <v>-2.2731000004569069E-2</v>
      </c>
    </row>
    <row r="59" spans="1:19" x14ac:dyDescent="0.2">
      <c r="A59" s="43" t="s">
        <v>62</v>
      </c>
      <c r="B59" s="44" t="s">
        <v>47</v>
      </c>
      <c r="C59" s="43">
        <v>56730.363899999997</v>
      </c>
      <c r="D59" s="43">
        <v>2.3E-3</v>
      </c>
      <c r="E59">
        <f t="shared" si="0"/>
        <v>4910.9932096563225</v>
      </c>
      <c r="F59">
        <f t="shared" si="1"/>
        <v>4911</v>
      </c>
      <c r="G59">
        <f t="shared" si="2"/>
        <v>-2.2631000007095281E-2</v>
      </c>
      <c r="J59">
        <f>+G59</f>
        <v>-2.2631000007095281E-2</v>
      </c>
      <c r="O59">
        <f t="shared" ca="1" si="3"/>
        <v>-1.715510671674686E-2</v>
      </c>
      <c r="P59">
        <f t="shared" ca="1" si="4"/>
        <v>-0.37790583623846602</v>
      </c>
      <c r="Q59" s="2">
        <f t="shared" si="5"/>
        <v>41711.863899999997</v>
      </c>
      <c r="R59">
        <f t="shared" si="10"/>
        <v>-2.2631000007095281E-2</v>
      </c>
    </row>
    <row r="60" spans="1:19" x14ac:dyDescent="0.2">
      <c r="A60" s="67" t="s">
        <v>2</v>
      </c>
      <c r="B60" s="68" t="s">
        <v>47</v>
      </c>
      <c r="C60" s="69">
        <v>57373.605100000001</v>
      </c>
      <c r="D60" s="69">
        <v>2.9999999999999997E-4</v>
      </c>
      <c r="E60">
        <f>+(C60-C$7)/C$8</f>
        <v>5103.9952340674763</v>
      </c>
      <c r="F60">
        <f t="shared" si="1"/>
        <v>5104</v>
      </c>
      <c r="G60">
        <f>+C60-(C$7+F60*C$8)</f>
        <v>-1.5884000000369269E-2</v>
      </c>
      <c r="K60">
        <f>+G60</f>
        <v>-1.5884000000369269E-2</v>
      </c>
      <c r="O60">
        <f t="shared" ref="O60:P62" ca="1" si="11">+C$11+C$12*$F60</f>
        <v>-1.7981526703426232E-2</v>
      </c>
      <c r="P60">
        <f t="shared" ca="1" si="11"/>
        <v>-0.39536811569071978</v>
      </c>
      <c r="Q60" s="2">
        <f>+C60-15018.5</f>
        <v>42355.105100000001</v>
      </c>
      <c r="R60">
        <f t="shared" si="10"/>
        <v>-1.5884000000369269E-2</v>
      </c>
    </row>
    <row r="61" spans="1:19" x14ac:dyDescent="0.2">
      <c r="A61" s="70" t="s">
        <v>1</v>
      </c>
      <c r="B61" s="71" t="s">
        <v>47</v>
      </c>
      <c r="C61" s="72">
        <v>57883.517999999996</v>
      </c>
      <c r="D61" s="72">
        <v>0.01</v>
      </c>
      <c r="E61">
        <f>+(C61-C$7)/C$8</f>
        <v>5256.9926197656569</v>
      </c>
      <c r="F61">
        <f t="shared" si="1"/>
        <v>5257</v>
      </c>
      <c r="G61">
        <f>+C61-(C$7+F61*C$8)</f>
        <v>-2.4597000003268477E-2</v>
      </c>
      <c r="K61">
        <f>+G61</f>
        <v>-2.4597000003268477E-2</v>
      </c>
      <c r="O61">
        <f t="shared" ca="1" si="11"/>
        <v>-1.8636667936389673E-2</v>
      </c>
      <c r="P61">
        <f t="shared" ca="1" si="11"/>
        <v>-0.40921126986789508</v>
      </c>
      <c r="Q61" s="2">
        <f>+C61-15018.5</f>
        <v>42865.017999999996</v>
      </c>
      <c r="R61">
        <f>G61</f>
        <v>-2.4597000003268477E-2</v>
      </c>
    </row>
    <row r="62" spans="1:19" x14ac:dyDescent="0.2">
      <c r="A62" s="70" t="s">
        <v>0</v>
      </c>
      <c r="B62" s="73" t="s">
        <v>47</v>
      </c>
      <c r="C62" s="74">
        <v>57853.534800000001</v>
      </c>
      <c r="D62" s="74">
        <v>1.4E-3</v>
      </c>
      <c r="E62">
        <f>+(C62-C$7)/C$8</f>
        <v>5247.9962770277789</v>
      </c>
      <c r="F62">
        <f t="shared" si="1"/>
        <v>5248</v>
      </c>
      <c r="G62">
        <f>+C62-(C$7+F62*C$8)</f>
        <v>-1.2408000002324115E-2</v>
      </c>
      <c r="K62">
        <f>+G62</f>
        <v>-1.2408000002324115E-2</v>
      </c>
      <c r="O62">
        <f t="shared" ca="1" si="11"/>
        <v>-1.8598130216803586E-2</v>
      </c>
      <c r="P62">
        <f t="shared" ca="1" si="11"/>
        <v>-0.40839696668100239</v>
      </c>
      <c r="Q62" s="2">
        <f>+C62-15018.5</f>
        <v>42835.034800000001</v>
      </c>
      <c r="R62">
        <f>G62</f>
        <v>-1.2408000002324115E-2</v>
      </c>
    </row>
    <row r="63" spans="1:19" x14ac:dyDescent="0.2">
      <c r="A63" s="75" t="s">
        <v>237</v>
      </c>
      <c r="B63" s="75" t="s">
        <v>47</v>
      </c>
      <c r="C63" s="77">
        <v>59716.56399999978</v>
      </c>
      <c r="D63" s="76">
        <v>7.0000000000000001E-3</v>
      </c>
      <c r="E63">
        <f t="shared" ref="E63:E64" si="12">+(C63-C$7)/C$8</f>
        <v>5806.9909545096416</v>
      </c>
      <c r="F63">
        <f t="shared" ref="F63:F64" si="13">ROUND(2*E63,0)/2</f>
        <v>5807</v>
      </c>
      <c r="G63">
        <f t="shared" ref="G63:G64" si="14">+C63-(C$7+F63*C$8)</f>
        <v>-3.0147000215947628E-2</v>
      </c>
      <c r="K63">
        <f t="shared" ref="K63:K64" si="15">+G63</f>
        <v>-3.0147000215947628E-2</v>
      </c>
      <c r="O63">
        <f t="shared" ref="O63:O64" ca="1" si="16">+C$11+C$12*$F63</f>
        <v>-2.0991750799983739E-2</v>
      </c>
      <c r="P63">
        <f t="shared" ref="P63:P64" ca="1" si="17">+D$11+D$12*$F63</f>
        <v>-0.4589742424002245</v>
      </c>
      <c r="Q63" s="2">
        <f t="shared" ref="Q63:Q64" si="18">+C63-15018.5</f>
        <v>44698.06399999978</v>
      </c>
      <c r="R63">
        <f t="shared" ref="R63:R64" si="19">G63</f>
        <v>-3.0147000215947628E-2</v>
      </c>
    </row>
    <row r="64" spans="1:19" x14ac:dyDescent="0.2">
      <c r="A64" s="75" t="s">
        <v>237</v>
      </c>
      <c r="B64" s="75" t="s">
        <v>47</v>
      </c>
      <c r="C64" s="77">
        <v>59716.569999999832</v>
      </c>
      <c r="D64" s="76">
        <v>0.01</v>
      </c>
      <c r="E64">
        <f t="shared" si="12"/>
        <v>5806.9927547863599</v>
      </c>
      <c r="F64">
        <f t="shared" si="13"/>
        <v>5807</v>
      </c>
      <c r="G64">
        <f t="shared" si="14"/>
        <v>-2.4147000163793564E-2</v>
      </c>
      <c r="K64">
        <f t="shared" si="15"/>
        <v>-2.4147000163793564E-2</v>
      </c>
      <c r="O64">
        <f t="shared" ca="1" si="16"/>
        <v>-2.0991750799983739E-2</v>
      </c>
      <c r="P64">
        <f t="shared" ca="1" si="17"/>
        <v>-0.4589742424002245</v>
      </c>
      <c r="Q64" s="2">
        <f t="shared" si="18"/>
        <v>44698.069999999832</v>
      </c>
      <c r="R64">
        <f t="shared" si="19"/>
        <v>-2.4147000163793564E-2</v>
      </c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</sheetData>
  <phoneticPr fontId="8" type="noConversion"/>
  <hyperlinks>
    <hyperlink ref="H3060" r:id="rId1" display="http://vsolj.cetus-net.org/bulletin.html" xr:uid="{00000000-0004-0000-0000-000000000000}"/>
    <hyperlink ref="H64787" r:id="rId2" display="http://vsolj.cetus-net.org/bulletin.html" xr:uid="{00000000-0004-0000-0000-000001000000}"/>
    <hyperlink ref="H64780" r:id="rId3" display="https://www.aavso.org/ejaavso" xr:uid="{00000000-0004-0000-0000-000002000000}"/>
    <hyperlink ref="AP1638" r:id="rId4" display="http://cdsbib.u-strasbg.fr/cgi-bin/cdsbib?1990RMxAA..21..381G" xr:uid="{00000000-0004-0000-0000-000003000000}"/>
    <hyperlink ref="AP1635" r:id="rId5" display="http://cdsbib.u-strasbg.fr/cgi-bin/cdsbib?1990RMxAA..21..381G" xr:uid="{00000000-0004-0000-0000-000004000000}"/>
    <hyperlink ref="AP1637" r:id="rId6" display="http://cdsbib.u-strasbg.fr/cgi-bin/cdsbib?1990RMxAA..21..381G" xr:uid="{00000000-0004-0000-0000-000005000000}"/>
    <hyperlink ref="AP1613" r:id="rId7" display="http://cdsbib.u-strasbg.fr/cgi-bin/cdsbib?1990RMxAA..21..381G" xr:uid="{00000000-0004-0000-0000-000006000000}"/>
    <hyperlink ref="I64787" r:id="rId8" display="http://vsolj.cetus-net.org/bulletin.html" xr:uid="{00000000-0004-0000-0000-000007000000}"/>
    <hyperlink ref="AQ1774" r:id="rId9" display="http://cdsbib.u-strasbg.fr/cgi-bin/cdsbib?1990RMxAA..21..381G" xr:uid="{00000000-0004-0000-0000-000008000000}"/>
    <hyperlink ref="AQ3418" r:id="rId10" display="http://cdsbib.u-strasbg.fr/cgi-bin/cdsbib?1990RMxAA..21..381G" xr:uid="{00000000-0004-0000-0000-000009000000}"/>
    <hyperlink ref="AQ1775" r:id="rId11" display="http://cdsbib.u-strasbg.fr/cgi-bin/cdsbib?1990RMxAA..21..381G" xr:uid="{00000000-0004-0000-0000-00000A000000}"/>
    <hyperlink ref="H64784" r:id="rId12" display="https://www.aavso.org/ejaavso" xr:uid="{00000000-0004-0000-0000-00000B000000}"/>
    <hyperlink ref="H2625" r:id="rId13" display="http://vsolj.cetus-net.org/bulletin.html" xr:uid="{00000000-0004-0000-0000-00000C000000}"/>
    <hyperlink ref="AP5863" r:id="rId14" display="http://cdsbib.u-strasbg.fr/cgi-bin/cdsbib?1990RMxAA..21..381G" xr:uid="{00000000-0004-0000-0000-00000D000000}"/>
    <hyperlink ref="AP5866" r:id="rId15" display="http://cdsbib.u-strasbg.fr/cgi-bin/cdsbib?1990RMxAA..21..381G" xr:uid="{00000000-0004-0000-0000-00000E000000}"/>
    <hyperlink ref="AP5864" r:id="rId16" display="http://cdsbib.u-strasbg.fr/cgi-bin/cdsbib?1990RMxAA..21..381G" xr:uid="{00000000-0004-0000-0000-00000F000000}"/>
    <hyperlink ref="AP5842" r:id="rId17" display="http://cdsbib.u-strasbg.fr/cgi-bin/cdsbib?1990RMxAA..21..381G" xr:uid="{00000000-0004-0000-0000-000010000000}"/>
    <hyperlink ref="I2625" r:id="rId18" display="http://vsolj.cetus-net.org/bulletin.html" xr:uid="{00000000-0004-0000-0000-000011000000}"/>
    <hyperlink ref="AQ5976" r:id="rId19" display="http://cdsbib.u-strasbg.fr/cgi-bin/cdsbib?1990RMxAA..21..381G" xr:uid="{00000000-0004-0000-0000-000012000000}"/>
    <hyperlink ref="AQ528" r:id="rId20" display="http://cdsbib.u-strasbg.fr/cgi-bin/cdsbib?1990RMxAA..21..381G" xr:uid="{00000000-0004-0000-0000-000013000000}"/>
    <hyperlink ref="AQ597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E7C9-76A9-43DC-9E23-12ADE93AEA9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workbookViewId="0">
      <selection activeCell="A41" sqref="A41:D45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5" t="s">
        <v>63</v>
      </c>
      <c r="I1" s="46" t="s">
        <v>64</v>
      </c>
      <c r="J1" s="47" t="s">
        <v>65</v>
      </c>
    </row>
    <row r="2" spans="1:16" x14ac:dyDescent="0.2">
      <c r="I2" s="48" t="s">
        <v>66</v>
      </c>
      <c r="J2" s="49" t="s">
        <v>67</v>
      </c>
    </row>
    <row r="3" spans="1:16" x14ac:dyDescent="0.2">
      <c r="A3" s="50" t="s">
        <v>68</v>
      </c>
      <c r="I3" s="48" t="s">
        <v>69</v>
      </c>
      <c r="J3" s="49" t="s">
        <v>70</v>
      </c>
    </row>
    <row r="4" spans="1:16" x14ac:dyDescent="0.2">
      <c r="I4" s="48" t="s">
        <v>71</v>
      </c>
      <c r="J4" s="49" t="s">
        <v>70</v>
      </c>
    </row>
    <row r="5" spans="1:16" ht="13.5" thickBot="1" x14ac:dyDescent="0.25">
      <c r="I5" s="51" t="s">
        <v>72</v>
      </c>
      <c r="J5" s="52" t="s">
        <v>73</v>
      </c>
    </row>
    <row r="10" spans="1:16" ht="13.5" thickBot="1" x14ac:dyDescent="0.25"/>
    <row r="11" spans="1:16" ht="12.75" customHeight="1" thickBot="1" x14ac:dyDescent="0.25">
      <c r="A11" s="14" t="str">
        <f t="shared" ref="A11:A45" si="0">P11</f>
        <v>IBVS 365 </v>
      </c>
      <c r="B11" s="13" t="str">
        <f t="shared" ref="B11:B45" si="1">IF(H11=INT(H11),"I","II")</f>
        <v>I</v>
      </c>
      <c r="C11" s="14">
        <f t="shared" ref="C11:C45" si="2">1*G11</f>
        <v>40362.906999999999</v>
      </c>
      <c r="D11" s="18" t="str">
        <f t="shared" ref="D11:D45" si="3">VLOOKUP(F11,I$1:J$5,2,FALSE)</f>
        <v>vis</v>
      </c>
      <c r="E11" s="53">
        <f>VLOOKUP(C11,'Active 1'!C$21:E$973,3,FALSE)</f>
        <v>1.320202914583776E-3</v>
      </c>
      <c r="F11" s="13" t="s">
        <v>72</v>
      </c>
      <c r="G11" s="18" t="str">
        <f t="shared" ref="G11:G45" si="4">MID(I11,3,LEN(I11)-3)</f>
        <v>40362.9070</v>
      </c>
      <c r="H11" s="14">
        <f t="shared" ref="H11:H45" si="5">1*K11</f>
        <v>-3642</v>
      </c>
      <c r="I11" s="54" t="s">
        <v>81</v>
      </c>
      <c r="J11" s="55" t="s">
        <v>82</v>
      </c>
      <c r="K11" s="54">
        <v>-3642</v>
      </c>
      <c r="L11" s="54" t="s">
        <v>83</v>
      </c>
      <c r="M11" s="55" t="s">
        <v>77</v>
      </c>
      <c r="N11" s="55" t="s">
        <v>78</v>
      </c>
      <c r="O11" s="56" t="s">
        <v>84</v>
      </c>
      <c r="P11" s="57" t="s">
        <v>85</v>
      </c>
    </row>
    <row r="12" spans="1:16" ht="12.75" customHeight="1" thickBot="1" x14ac:dyDescent="0.25">
      <c r="A12" s="14" t="str">
        <f t="shared" si="0"/>
        <v>IBVS 1007 </v>
      </c>
      <c r="B12" s="13" t="str">
        <f t="shared" si="1"/>
        <v>I</v>
      </c>
      <c r="C12" s="14">
        <f t="shared" si="2"/>
        <v>41682.696000000004</v>
      </c>
      <c r="D12" s="18" t="str">
        <f t="shared" si="3"/>
        <v>vis</v>
      </c>
      <c r="E12" s="53">
        <f>VLOOKUP(C12,'Active 1'!C$21:E$973,3,FALSE)</f>
        <v>395.99888502862956</v>
      </c>
      <c r="F12" s="13" t="s">
        <v>72</v>
      </c>
      <c r="G12" s="18" t="str">
        <f t="shared" si="4"/>
        <v>41682.6960</v>
      </c>
      <c r="H12" s="14">
        <f t="shared" si="5"/>
        <v>-3246</v>
      </c>
      <c r="I12" s="54" t="s">
        <v>86</v>
      </c>
      <c r="J12" s="55" t="s">
        <v>87</v>
      </c>
      <c r="K12" s="54">
        <v>-3246</v>
      </c>
      <c r="L12" s="54" t="s">
        <v>88</v>
      </c>
      <c r="M12" s="55" t="s">
        <v>77</v>
      </c>
      <c r="N12" s="55" t="s">
        <v>78</v>
      </c>
      <c r="O12" s="56" t="s">
        <v>89</v>
      </c>
      <c r="P12" s="57" t="s">
        <v>90</v>
      </c>
    </row>
    <row r="13" spans="1:16" ht="12.75" customHeight="1" thickBot="1" x14ac:dyDescent="0.25">
      <c r="A13" s="14" t="str">
        <f t="shared" si="0"/>
        <v>IBVS 1007 </v>
      </c>
      <c r="B13" s="13" t="str">
        <f t="shared" si="1"/>
        <v>I</v>
      </c>
      <c r="C13" s="14">
        <f t="shared" si="2"/>
        <v>42152.625999999997</v>
      </c>
      <c r="D13" s="18" t="str">
        <f t="shared" si="3"/>
        <v>vis</v>
      </c>
      <c r="E13" s="53">
        <f>VLOOKUP(C13,'Active 1'!C$21:E$973,3,FALSE)</f>
        <v>536.99955683188364</v>
      </c>
      <c r="F13" s="13" t="s">
        <v>72</v>
      </c>
      <c r="G13" s="18" t="str">
        <f t="shared" si="4"/>
        <v>42152.6260</v>
      </c>
      <c r="H13" s="14">
        <f t="shared" si="5"/>
        <v>-3105</v>
      </c>
      <c r="I13" s="54" t="s">
        <v>91</v>
      </c>
      <c r="J13" s="55" t="s">
        <v>92</v>
      </c>
      <c r="K13" s="54">
        <v>-3105</v>
      </c>
      <c r="L13" s="54" t="s">
        <v>93</v>
      </c>
      <c r="M13" s="55" t="s">
        <v>77</v>
      </c>
      <c r="N13" s="55" t="s">
        <v>78</v>
      </c>
      <c r="O13" s="56" t="s">
        <v>89</v>
      </c>
      <c r="P13" s="57" t="s">
        <v>90</v>
      </c>
    </row>
    <row r="14" spans="1:16" ht="12.75" customHeight="1" thickBot="1" x14ac:dyDescent="0.25">
      <c r="A14" s="14" t="str">
        <f t="shared" si="0"/>
        <v> BBS 92 </v>
      </c>
      <c r="B14" s="13" t="str">
        <f t="shared" si="1"/>
        <v>I</v>
      </c>
      <c r="C14" s="14">
        <f t="shared" si="2"/>
        <v>47678.451999999997</v>
      </c>
      <c r="D14" s="18" t="str">
        <f t="shared" si="3"/>
        <v>vis</v>
      </c>
      <c r="E14" s="53">
        <f>VLOOKUP(C14,'Active 1'!C$21:E$973,3,FALSE)</f>
        <v>2195.0021918368843</v>
      </c>
      <c r="F14" s="13" t="s">
        <v>72</v>
      </c>
      <c r="G14" s="18" t="str">
        <f t="shared" si="4"/>
        <v>47678.452</v>
      </c>
      <c r="H14" s="14">
        <f t="shared" si="5"/>
        <v>-1447</v>
      </c>
      <c r="I14" s="54" t="s">
        <v>100</v>
      </c>
      <c r="J14" s="55" t="s">
        <v>101</v>
      </c>
      <c r="K14" s="54">
        <v>-1447</v>
      </c>
      <c r="L14" s="54" t="s">
        <v>102</v>
      </c>
      <c r="M14" s="55" t="s">
        <v>97</v>
      </c>
      <c r="N14" s="55"/>
      <c r="O14" s="56" t="s">
        <v>103</v>
      </c>
      <c r="P14" s="56" t="s">
        <v>104</v>
      </c>
    </row>
    <row r="15" spans="1:16" ht="12.75" customHeight="1" thickBot="1" x14ac:dyDescent="0.25">
      <c r="A15" s="14" t="str">
        <f t="shared" si="0"/>
        <v>IBVS 3900 </v>
      </c>
      <c r="B15" s="13" t="str">
        <f t="shared" si="1"/>
        <v>I</v>
      </c>
      <c r="C15" s="14">
        <f t="shared" si="2"/>
        <v>48341.665200000003</v>
      </c>
      <c r="D15" s="18" t="str">
        <f t="shared" si="3"/>
        <v>vis</v>
      </c>
      <c r="E15" s="53">
        <f>VLOOKUP(C15,'Active 1'!C$21:E$973,3,FALSE)</f>
        <v>2393.9967372985234</v>
      </c>
      <c r="F15" s="13" t="s">
        <v>72</v>
      </c>
      <c r="G15" s="18" t="str">
        <f t="shared" si="4"/>
        <v>48341.6652</v>
      </c>
      <c r="H15" s="14">
        <f t="shared" si="5"/>
        <v>-1248</v>
      </c>
      <c r="I15" s="54" t="s">
        <v>105</v>
      </c>
      <c r="J15" s="55" t="s">
        <v>106</v>
      </c>
      <c r="K15" s="54">
        <v>-1248</v>
      </c>
      <c r="L15" s="54" t="s">
        <v>107</v>
      </c>
      <c r="M15" s="55" t="s">
        <v>77</v>
      </c>
      <c r="N15" s="55" t="s">
        <v>78</v>
      </c>
      <c r="O15" s="56" t="s">
        <v>108</v>
      </c>
      <c r="P15" s="57" t="s">
        <v>109</v>
      </c>
    </row>
    <row r="16" spans="1:16" ht="12.75" customHeight="1" thickBot="1" x14ac:dyDescent="0.25">
      <c r="A16" s="14" t="str">
        <f t="shared" si="0"/>
        <v> BBS 99 </v>
      </c>
      <c r="B16" s="13" t="str">
        <f t="shared" si="1"/>
        <v>I</v>
      </c>
      <c r="C16" s="14">
        <f t="shared" si="2"/>
        <v>48518.309000000001</v>
      </c>
      <c r="D16" s="18" t="str">
        <f t="shared" si="3"/>
        <v>vis</v>
      </c>
      <c r="E16" s="53">
        <f>VLOOKUP(C16,'Active 1'!C$21:E$973,3,FALSE)</f>
        <v>2446.9980235962266</v>
      </c>
      <c r="F16" s="13" t="s">
        <v>72</v>
      </c>
      <c r="G16" s="18" t="str">
        <f t="shared" si="4"/>
        <v>48518.3090</v>
      </c>
      <c r="H16" s="14">
        <f t="shared" si="5"/>
        <v>-1195</v>
      </c>
      <c r="I16" s="54" t="s">
        <v>110</v>
      </c>
      <c r="J16" s="55" t="s">
        <v>111</v>
      </c>
      <c r="K16" s="54">
        <v>-1195</v>
      </c>
      <c r="L16" s="54" t="s">
        <v>112</v>
      </c>
      <c r="M16" s="55" t="s">
        <v>77</v>
      </c>
      <c r="N16" s="55" t="s">
        <v>78</v>
      </c>
      <c r="O16" s="56" t="s">
        <v>113</v>
      </c>
      <c r="P16" s="56" t="s">
        <v>114</v>
      </c>
    </row>
    <row r="17" spans="1:16" ht="12.75" customHeight="1" thickBot="1" x14ac:dyDescent="0.25">
      <c r="A17" s="14" t="str">
        <f t="shared" si="0"/>
        <v>BAVM 62 </v>
      </c>
      <c r="B17" s="13" t="str">
        <f t="shared" si="1"/>
        <v>I</v>
      </c>
      <c r="C17" s="14">
        <f t="shared" si="2"/>
        <v>49041.563000000002</v>
      </c>
      <c r="D17" s="18" t="str">
        <f t="shared" si="3"/>
        <v>vis</v>
      </c>
      <c r="E17" s="53">
        <f>VLOOKUP(C17,'Active 1'!C$21:E$973,3,FALSE)</f>
        <v>2603.9983545470941</v>
      </c>
      <c r="F17" s="13" t="s">
        <v>72</v>
      </c>
      <c r="G17" s="18" t="str">
        <f t="shared" si="4"/>
        <v>49041.563</v>
      </c>
      <c r="H17" s="14">
        <f t="shared" si="5"/>
        <v>-1038</v>
      </c>
      <c r="I17" s="54" t="s">
        <v>115</v>
      </c>
      <c r="J17" s="55" t="s">
        <v>116</v>
      </c>
      <c r="K17" s="54">
        <v>-1038</v>
      </c>
      <c r="L17" s="54" t="s">
        <v>117</v>
      </c>
      <c r="M17" s="55" t="s">
        <v>77</v>
      </c>
      <c r="N17" s="55" t="s">
        <v>118</v>
      </c>
      <c r="O17" s="56" t="s">
        <v>119</v>
      </c>
      <c r="P17" s="57" t="s">
        <v>120</v>
      </c>
    </row>
    <row r="18" spans="1:16" ht="12.75" customHeight="1" thickBot="1" x14ac:dyDescent="0.25">
      <c r="A18" s="14" t="str">
        <f t="shared" si="0"/>
        <v>BAVM 62 </v>
      </c>
      <c r="B18" s="13" t="str">
        <f t="shared" si="1"/>
        <v>I</v>
      </c>
      <c r="C18" s="14">
        <f t="shared" si="2"/>
        <v>49041.565999999999</v>
      </c>
      <c r="D18" s="18" t="str">
        <f t="shared" si="3"/>
        <v>vis</v>
      </c>
      <c r="E18" s="53">
        <f>VLOOKUP(C18,'Active 1'!C$21:E$973,3,FALSE)</f>
        <v>2603.9992546854446</v>
      </c>
      <c r="F18" s="13" t="s">
        <v>72</v>
      </c>
      <c r="G18" s="18" t="str">
        <f t="shared" si="4"/>
        <v>49041.566</v>
      </c>
      <c r="H18" s="14">
        <f t="shared" si="5"/>
        <v>-1038</v>
      </c>
      <c r="I18" s="54" t="s">
        <v>121</v>
      </c>
      <c r="J18" s="55" t="s">
        <v>122</v>
      </c>
      <c r="K18" s="54">
        <v>-1038</v>
      </c>
      <c r="L18" s="54" t="s">
        <v>123</v>
      </c>
      <c r="M18" s="55" t="s">
        <v>77</v>
      </c>
      <c r="N18" s="55" t="s">
        <v>124</v>
      </c>
      <c r="O18" s="56" t="s">
        <v>119</v>
      </c>
      <c r="P18" s="57" t="s">
        <v>120</v>
      </c>
    </row>
    <row r="19" spans="1:16" ht="12.75" customHeight="1" thickBot="1" x14ac:dyDescent="0.25">
      <c r="A19" s="14" t="str">
        <f t="shared" si="0"/>
        <v>IBVS 3903 </v>
      </c>
      <c r="B19" s="13" t="str">
        <f t="shared" si="1"/>
        <v>II</v>
      </c>
      <c r="C19" s="14">
        <f t="shared" si="2"/>
        <v>49099.73</v>
      </c>
      <c r="D19" s="18" t="str">
        <f t="shared" si="3"/>
        <v>vis</v>
      </c>
      <c r="E19" s="53">
        <f>VLOOKUP(C19,'Active 1'!C$21:E$973,3,FALSE)</f>
        <v>2621.4511370397636</v>
      </c>
      <c r="F19" s="13" t="s">
        <v>72</v>
      </c>
      <c r="G19" s="18" t="str">
        <f t="shared" si="4"/>
        <v>49099.73</v>
      </c>
      <c r="H19" s="14">
        <f t="shared" si="5"/>
        <v>-1020.5</v>
      </c>
      <c r="I19" s="54" t="s">
        <v>125</v>
      </c>
      <c r="J19" s="55" t="s">
        <v>126</v>
      </c>
      <c r="K19" s="54">
        <v>-1020.5</v>
      </c>
      <c r="L19" s="54" t="s">
        <v>127</v>
      </c>
      <c r="M19" s="55" t="s">
        <v>77</v>
      </c>
      <c r="N19" s="55" t="s">
        <v>78</v>
      </c>
      <c r="O19" s="56" t="s">
        <v>128</v>
      </c>
      <c r="P19" s="57" t="s">
        <v>129</v>
      </c>
    </row>
    <row r="20" spans="1:16" ht="12.75" customHeight="1" thickBot="1" x14ac:dyDescent="0.25">
      <c r="A20" s="14" t="str">
        <f t="shared" si="0"/>
        <v>BAVM 68 </v>
      </c>
      <c r="B20" s="13" t="str">
        <f t="shared" si="1"/>
        <v>I</v>
      </c>
      <c r="C20" s="14">
        <f t="shared" si="2"/>
        <v>49481.498</v>
      </c>
      <c r="D20" s="18" t="str">
        <f t="shared" si="3"/>
        <v>vis</v>
      </c>
      <c r="E20" s="53">
        <f>VLOOKUP(C20,'Active 1'!C$21:E$973,3,FALSE)</f>
        <v>2735.999143068289</v>
      </c>
      <c r="F20" s="13" t="s">
        <v>72</v>
      </c>
      <c r="G20" s="18" t="str">
        <f t="shared" si="4"/>
        <v>49481.4980</v>
      </c>
      <c r="H20" s="14">
        <f t="shared" si="5"/>
        <v>-906</v>
      </c>
      <c r="I20" s="54" t="s">
        <v>130</v>
      </c>
      <c r="J20" s="55" t="s">
        <v>131</v>
      </c>
      <c r="K20" s="54">
        <v>-906</v>
      </c>
      <c r="L20" s="54" t="s">
        <v>132</v>
      </c>
      <c r="M20" s="55" t="s">
        <v>77</v>
      </c>
      <c r="N20" s="55" t="s">
        <v>118</v>
      </c>
      <c r="O20" s="56" t="s">
        <v>119</v>
      </c>
      <c r="P20" s="57" t="s">
        <v>133</v>
      </c>
    </row>
    <row r="21" spans="1:16" ht="12.75" customHeight="1" thickBot="1" x14ac:dyDescent="0.25">
      <c r="A21" s="14" t="str">
        <f t="shared" si="0"/>
        <v>BAVM 68 </v>
      </c>
      <c r="B21" s="13" t="str">
        <f t="shared" si="1"/>
        <v>I</v>
      </c>
      <c r="C21" s="14">
        <f t="shared" si="2"/>
        <v>49481.498899999999</v>
      </c>
      <c r="D21" s="18" t="str">
        <f t="shared" si="3"/>
        <v>vis</v>
      </c>
      <c r="E21" s="53">
        <f>VLOOKUP(C21,'Active 1'!C$21:E$973,3,FALSE)</f>
        <v>2735.9994131097942</v>
      </c>
      <c r="F21" s="13" t="s">
        <v>72</v>
      </c>
      <c r="G21" s="18" t="str">
        <f t="shared" si="4"/>
        <v>49481.4989</v>
      </c>
      <c r="H21" s="14">
        <f t="shared" si="5"/>
        <v>-906</v>
      </c>
      <c r="I21" s="54" t="s">
        <v>134</v>
      </c>
      <c r="J21" s="55" t="s">
        <v>135</v>
      </c>
      <c r="K21" s="54">
        <v>-906</v>
      </c>
      <c r="L21" s="54" t="s">
        <v>136</v>
      </c>
      <c r="M21" s="55" t="s">
        <v>77</v>
      </c>
      <c r="N21" s="55" t="s">
        <v>124</v>
      </c>
      <c r="O21" s="56" t="s">
        <v>119</v>
      </c>
      <c r="P21" s="57" t="s">
        <v>133</v>
      </c>
    </row>
    <row r="22" spans="1:16" ht="12.75" customHeight="1" thickBot="1" x14ac:dyDescent="0.25">
      <c r="A22" s="14" t="str">
        <f t="shared" si="0"/>
        <v> BBS 107 </v>
      </c>
      <c r="B22" s="13" t="str">
        <f t="shared" si="1"/>
        <v>I</v>
      </c>
      <c r="C22" s="14">
        <f t="shared" si="2"/>
        <v>49511.493499999997</v>
      </c>
      <c r="D22" s="18" t="str">
        <f t="shared" si="3"/>
        <v>vis</v>
      </c>
      <c r="E22" s="53">
        <f>VLOOKUP(C22,'Active 1'!C$21:E$973,3,FALSE)</f>
        <v>2744.9991763734074</v>
      </c>
      <c r="F22" s="13" t="s">
        <v>72</v>
      </c>
      <c r="G22" s="18" t="str">
        <f t="shared" si="4"/>
        <v>49511.4935</v>
      </c>
      <c r="H22" s="14">
        <f t="shared" si="5"/>
        <v>-897</v>
      </c>
      <c r="I22" s="54" t="s">
        <v>137</v>
      </c>
      <c r="J22" s="55" t="s">
        <v>138</v>
      </c>
      <c r="K22" s="54">
        <v>-897</v>
      </c>
      <c r="L22" s="54" t="s">
        <v>139</v>
      </c>
      <c r="M22" s="55" t="s">
        <v>77</v>
      </c>
      <c r="N22" s="55" t="s">
        <v>118</v>
      </c>
      <c r="O22" s="56" t="s">
        <v>113</v>
      </c>
      <c r="P22" s="56" t="s">
        <v>140</v>
      </c>
    </row>
    <row r="23" spans="1:16" ht="12.75" customHeight="1" thickBot="1" x14ac:dyDescent="0.25">
      <c r="A23" s="14" t="str">
        <f t="shared" si="0"/>
        <v> JAAVSO 41;122 </v>
      </c>
      <c r="B23" s="13" t="str">
        <f t="shared" si="1"/>
        <v>I</v>
      </c>
      <c r="C23" s="14">
        <f t="shared" si="2"/>
        <v>50574.646999999997</v>
      </c>
      <c r="D23" s="18" t="str">
        <f t="shared" si="3"/>
        <v>vis</v>
      </c>
      <c r="E23" s="53">
        <f>VLOOKUP(C23,'Active 1'!C$21:E$973,3,FALSE)</f>
        <v>3063.9942559171332</v>
      </c>
      <c r="F23" s="13" t="s">
        <v>72</v>
      </c>
      <c r="G23" s="18" t="str">
        <f t="shared" si="4"/>
        <v>50574.647</v>
      </c>
      <c r="H23" s="14">
        <f t="shared" si="5"/>
        <v>-578</v>
      </c>
      <c r="I23" s="54" t="s">
        <v>141</v>
      </c>
      <c r="J23" s="55" t="s">
        <v>142</v>
      </c>
      <c r="K23" s="54">
        <v>-578</v>
      </c>
      <c r="L23" s="54" t="s">
        <v>143</v>
      </c>
      <c r="M23" s="55" t="s">
        <v>97</v>
      </c>
      <c r="N23" s="55"/>
      <c r="O23" s="56" t="s">
        <v>144</v>
      </c>
      <c r="P23" s="56" t="s">
        <v>145</v>
      </c>
    </row>
    <row r="24" spans="1:16" ht="12.75" customHeight="1" thickBot="1" x14ac:dyDescent="0.25">
      <c r="A24" s="14" t="str">
        <f t="shared" si="0"/>
        <v>IBVS 5463 </v>
      </c>
      <c r="B24" s="13" t="str">
        <f t="shared" si="1"/>
        <v>I</v>
      </c>
      <c r="C24" s="14">
        <f t="shared" si="2"/>
        <v>52054.430099999998</v>
      </c>
      <c r="D24" s="18" t="str">
        <f t="shared" si="3"/>
        <v>vis</v>
      </c>
      <c r="E24" s="53">
        <f>VLOOKUP(C24,'Active 1'!C$21:E$973,3,FALSE)</f>
        <v>3507.9974292048678</v>
      </c>
      <c r="F24" s="13" t="s">
        <v>72</v>
      </c>
      <c r="G24" s="18" t="str">
        <f t="shared" si="4"/>
        <v>52054.4301</v>
      </c>
      <c r="H24" s="14">
        <f t="shared" si="5"/>
        <v>-134</v>
      </c>
      <c r="I24" s="54" t="s">
        <v>146</v>
      </c>
      <c r="J24" s="55" t="s">
        <v>147</v>
      </c>
      <c r="K24" s="54">
        <v>-134</v>
      </c>
      <c r="L24" s="54" t="s">
        <v>148</v>
      </c>
      <c r="M24" s="55" t="s">
        <v>77</v>
      </c>
      <c r="N24" s="55" t="s">
        <v>78</v>
      </c>
      <c r="O24" s="56" t="s">
        <v>149</v>
      </c>
      <c r="P24" s="57" t="s">
        <v>150</v>
      </c>
    </row>
    <row r="25" spans="1:16" ht="12.75" customHeight="1" thickBot="1" x14ac:dyDescent="0.25">
      <c r="A25" s="14" t="str">
        <f t="shared" si="0"/>
        <v>IBVS 5463 </v>
      </c>
      <c r="B25" s="13" t="str">
        <f t="shared" si="1"/>
        <v>I</v>
      </c>
      <c r="C25" s="14">
        <f t="shared" si="2"/>
        <v>52454.371099999997</v>
      </c>
      <c r="D25" s="18" t="str">
        <f t="shared" si="3"/>
        <v>vis</v>
      </c>
      <c r="E25" s="53">
        <f>VLOOKUP(C25,'Active 1'!C$21:E$973,3,FALSE)</f>
        <v>3627.9981733192376</v>
      </c>
      <c r="F25" s="13" t="s">
        <v>72</v>
      </c>
      <c r="G25" s="18" t="str">
        <f t="shared" si="4"/>
        <v>52454.3711</v>
      </c>
      <c r="H25" s="14">
        <f t="shared" si="5"/>
        <v>-14</v>
      </c>
      <c r="I25" s="54" t="s">
        <v>151</v>
      </c>
      <c r="J25" s="55" t="s">
        <v>152</v>
      </c>
      <c r="K25" s="54">
        <v>-14</v>
      </c>
      <c r="L25" s="54" t="s">
        <v>153</v>
      </c>
      <c r="M25" s="55" t="s">
        <v>77</v>
      </c>
      <c r="N25" s="55" t="s">
        <v>78</v>
      </c>
      <c r="O25" s="56" t="s">
        <v>149</v>
      </c>
      <c r="P25" s="57" t="s">
        <v>150</v>
      </c>
    </row>
    <row r="26" spans="1:16" ht="12.75" customHeight="1" thickBot="1" x14ac:dyDescent="0.25">
      <c r="A26" s="14" t="str">
        <f t="shared" si="0"/>
        <v>IBVS 5595 </v>
      </c>
      <c r="B26" s="13" t="str">
        <f t="shared" si="1"/>
        <v>I</v>
      </c>
      <c r="C26" s="14">
        <f t="shared" si="2"/>
        <v>52757.652399999999</v>
      </c>
      <c r="D26" s="18" t="str">
        <f t="shared" si="3"/>
        <v>vis</v>
      </c>
      <c r="E26" s="53">
        <f>VLOOKUP(C26,'Active 1'!C$21:E$973,3,FALSE)</f>
        <v>3718.996549769699</v>
      </c>
      <c r="F26" s="13" t="s">
        <v>72</v>
      </c>
      <c r="G26" s="18" t="str">
        <f t="shared" si="4"/>
        <v>52757.6524</v>
      </c>
      <c r="H26" s="14">
        <f t="shared" si="5"/>
        <v>77</v>
      </c>
      <c r="I26" s="54" t="s">
        <v>154</v>
      </c>
      <c r="J26" s="55" t="s">
        <v>155</v>
      </c>
      <c r="K26" s="54">
        <v>77</v>
      </c>
      <c r="L26" s="54" t="s">
        <v>156</v>
      </c>
      <c r="M26" s="55" t="s">
        <v>77</v>
      </c>
      <c r="N26" s="55" t="s">
        <v>78</v>
      </c>
      <c r="O26" s="56" t="s">
        <v>157</v>
      </c>
      <c r="P26" s="57" t="s">
        <v>158</v>
      </c>
    </row>
    <row r="27" spans="1:16" ht="12.75" customHeight="1" thickBot="1" x14ac:dyDescent="0.25">
      <c r="A27" s="14" t="str">
        <f t="shared" si="0"/>
        <v>IBVS 5745 </v>
      </c>
      <c r="B27" s="13" t="str">
        <f t="shared" si="1"/>
        <v>II</v>
      </c>
      <c r="C27" s="14">
        <f t="shared" si="2"/>
        <v>52815.688600000001</v>
      </c>
      <c r="D27" s="18" t="str">
        <f t="shared" si="3"/>
        <v>vis</v>
      </c>
      <c r="E27" s="53">
        <f>VLOOKUP(C27,'Active 1'!C$21:E$973,3,FALSE)</f>
        <v>3736.4100862302535</v>
      </c>
      <c r="F27" s="13" t="s">
        <v>72</v>
      </c>
      <c r="G27" s="18" t="str">
        <f t="shared" si="4"/>
        <v>52815.6886</v>
      </c>
      <c r="H27" s="14">
        <f t="shared" si="5"/>
        <v>94.5</v>
      </c>
      <c r="I27" s="54" t="s">
        <v>159</v>
      </c>
      <c r="J27" s="55" t="s">
        <v>160</v>
      </c>
      <c r="K27" s="54">
        <v>94.5</v>
      </c>
      <c r="L27" s="54" t="s">
        <v>161</v>
      </c>
      <c r="M27" s="55" t="s">
        <v>77</v>
      </c>
      <c r="N27" s="55" t="s">
        <v>78</v>
      </c>
      <c r="O27" s="56" t="s">
        <v>162</v>
      </c>
      <c r="P27" s="57" t="s">
        <v>163</v>
      </c>
    </row>
    <row r="28" spans="1:16" ht="12.75" customHeight="1" thickBot="1" x14ac:dyDescent="0.25">
      <c r="A28" s="14" t="str">
        <f t="shared" si="0"/>
        <v>OEJV 0074 </v>
      </c>
      <c r="B28" s="13" t="str">
        <f t="shared" si="1"/>
        <v>I</v>
      </c>
      <c r="C28" s="14">
        <f t="shared" si="2"/>
        <v>53817.483569999997</v>
      </c>
      <c r="D28" s="18" t="str">
        <f t="shared" si="3"/>
        <v>vis</v>
      </c>
      <c r="E28" s="53">
        <f>VLOOKUP(C28,'Active 1'!C$21:E$973,3,FALSE)</f>
        <v>4036.9947770972385</v>
      </c>
      <c r="F28" s="13" t="s">
        <v>72</v>
      </c>
      <c r="G28" s="18" t="str">
        <f t="shared" si="4"/>
        <v>53817.48357</v>
      </c>
      <c r="H28" s="14">
        <f t="shared" si="5"/>
        <v>395</v>
      </c>
      <c r="I28" s="54" t="s">
        <v>169</v>
      </c>
      <c r="J28" s="55" t="s">
        <v>170</v>
      </c>
      <c r="K28" s="54">
        <v>395</v>
      </c>
      <c r="L28" s="54" t="s">
        <v>171</v>
      </c>
      <c r="M28" s="55" t="s">
        <v>172</v>
      </c>
      <c r="N28" s="55" t="s">
        <v>173</v>
      </c>
      <c r="O28" s="56" t="s">
        <v>174</v>
      </c>
      <c r="P28" s="57" t="s">
        <v>175</v>
      </c>
    </row>
    <row r="29" spans="1:16" ht="12.75" customHeight="1" thickBot="1" x14ac:dyDescent="0.25">
      <c r="A29" s="14" t="str">
        <f t="shared" si="0"/>
        <v>BAVM 178 </v>
      </c>
      <c r="B29" s="13" t="str">
        <f t="shared" si="1"/>
        <v>I</v>
      </c>
      <c r="C29" s="14">
        <f t="shared" si="2"/>
        <v>53897.477700000003</v>
      </c>
      <c r="D29" s="18" t="str">
        <f t="shared" si="3"/>
        <v>vis</v>
      </c>
      <c r="E29" s="53">
        <f>VLOOKUP(C29,'Active 1'!C$21:E$973,3,FALSE)</f>
        <v>4060.9967051935887</v>
      </c>
      <c r="F29" s="13" t="s">
        <v>72</v>
      </c>
      <c r="G29" s="18" t="str">
        <f t="shared" si="4"/>
        <v>53897.4777</v>
      </c>
      <c r="H29" s="14">
        <f t="shared" si="5"/>
        <v>419</v>
      </c>
      <c r="I29" s="54" t="s">
        <v>176</v>
      </c>
      <c r="J29" s="55" t="s">
        <v>177</v>
      </c>
      <c r="K29" s="54">
        <v>419</v>
      </c>
      <c r="L29" s="54" t="s">
        <v>178</v>
      </c>
      <c r="M29" s="55" t="s">
        <v>172</v>
      </c>
      <c r="N29" s="55" t="s">
        <v>179</v>
      </c>
      <c r="O29" s="56" t="s">
        <v>180</v>
      </c>
      <c r="P29" s="57" t="s">
        <v>181</v>
      </c>
    </row>
    <row r="30" spans="1:16" ht="12.75" customHeight="1" thickBot="1" x14ac:dyDescent="0.25">
      <c r="A30" s="14" t="str">
        <f t="shared" si="0"/>
        <v>OEJV 0074 </v>
      </c>
      <c r="B30" s="13" t="str">
        <f t="shared" si="1"/>
        <v>I</v>
      </c>
      <c r="C30" s="14">
        <f t="shared" si="2"/>
        <v>54237.420270000002</v>
      </c>
      <c r="D30" s="18" t="str">
        <f t="shared" si="3"/>
        <v>vis</v>
      </c>
      <c r="E30" s="53">
        <f>VLOOKUP(C30,'Active 1'!C$21:E$973,3,FALSE)</f>
        <v>4162.9951533550711</v>
      </c>
      <c r="F30" s="13" t="s">
        <v>72</v>
      </c>
      <c r="G30" s="18" t="str">
        <f t="shared" si="4"/>
        <v>54237.42027</v>
      </c>
      <c r="H30" s="14">
        <f t="shared" si="5"/>
        <v>521</v>
      </c>
      <c r="I30" s="54" t="s">
        <v>182</v>
      </c>
      <c r="J30" s="55" t="s">
        <v>183</v>
      </c>
      <c r="K30" s="54" t="s">
        <v>184</v>
      </c>
      <c r="L30" s="54" t="s">
        <v>185</v>
      </c>
      <c r="M30" s="55" t="s">
        <v>172</v>
      </c>
      <c r="N30" s="55" t="s">
        <v>173</v>
      </c>
      <c r="O30" s="56" t="s">
        <v>186</v>
      </c>
      <c r="P30" s="57" t="s">
        <v>175</v>
      </c>
    </row>
    <row r="31" spans="1:16" ht="12.75" customHeight="1" thickBot="1" x14ac:dyDescent="0.25">
      <c r="A31" s="14" t="str">
        <f t="shared" si="0"/>
        <v>OEJV 0074 </v>
      </c>
      <c r="B31" s="13" t="str">
        <f t="shared" si="1"/>
        <v>I</v>
      </c>
      <c r="C31" s="14">
        <f t="shared" si="2"/>
        <v>54237.42067</v>
      </c>
      <c r="D31" s="18" t="str">
        <f t="shared" si="3"/>
        <v>vis</v>
      </c>
      <c r="E31" s="53">
        <f>VLOOKUP(C31,'Active 1'!C$21:E$973,3,FALSE)</f>
        <v>4162.9952733735172</v>
      </c>
      <c r="F31" s="13" t="s">
        <v>72</v>
      </c>
      <c r="G31" s="18" t="str">
        <f t="shared" si="4"/>
        <v>54237.42067</v>
      </c>
      <c r="H31" s="14">
        <f t="shared" si="5"/>
        <v>521</v>
      </c>
      <c r="I31" s="54" t="s">
        <v>187</v>
      </c>
      <c r="J31" s="55" t="s">
        <v>183</v>
      </c>
      <c r="K31" s="54" t="s">
        <v>184</v>
      </c>
      <c r="L31" s="54" t="s">
        <v>188</v>
      </c>
      <c r="M31" s="55" t="s">
        <v>172</v>
      </c>
      <c r="N31" s="55" t="s">
        <v>72</v>
      </c>
      <c r="O31" s="56" t="s">
        <v>186</v>
      </c>
      <c r="P31" s="57" t="s">
        <v>175</v>
      </c>
    </row>
    <row r="32" spans="1:16" ht="12.75" customHeight="1" thickBot="1" x14ac:dyDescent="0.25">
      <c r="A32" s="14" t="str">
        <f t="shared" si="0"/>
        <v>OEJV 0074 </v>
      </c>
      <c r="B32" s="13" t="str">
        <f t="shared" si="1"/>
        <v>I</v>
      </c>
      <c r="C32" s="14">
        <f t="shared" si="2"/>
        <v>54237.421269999999</v>
      </c>
      <c r="D32" s="18" t="str">
        <f t="shared" si="3"/>
        <v>vis</v>
      </c>
      <c r="E32" s="53">
        <f>VLOOKUP(C32,'Active 1'!C$21:E$973,3,FALSE)</f>
        <v>4162.9954534011868</v>
      </c>
      <c r="F32" s="13" t="s">
        <v>72</v>
      </c>
      <c r="G32" s="18" t="str">
        <f t="shared" si="4"/>
        <v>54237.42127</v>
      </c>
      <c r="H32" s="14">
        <f t="shared" si="5"/>
        <v>521</v>
      </c>
      <c r="I32" s="54" t="s">
        <v>189</v>
      </c>
      <c r="J32" s="55" t="s">
        <v>190</v>
      </c>
      <c r="K32" s="54" t="s">
        <v>184</v>
      </c>
      <c r="L32" s="54" t="s">
        <v>191</v>
      </c>
      <c r="M32" s="55" t="s">
        <v>172</v>
      </c>
      <c r="N32" s="55" t="s">
        <v>118</v>
      </c>
      <c r="O32" s="56" t="s">
        <v>186</v>
      </c>
      <c r="P32" s="57" t="s">
        <v>175</v>
      </c>
    </row>
    <row r="33" spans="1:16" ht="12.75" customHeight="1" thickBot="1" x14ac:dyDescent="0.25">
      <c r="A33" s="14" t="str">
        <f t="shared" si="0"/>
        <v>OEJV 0074 </v>
      </c>
      <c r="B33" s="13" t="str">
        <f t="shared" si="1"/>
        <v>II</v>
      </c>
      <c r="C33" s="14">
        <f t="shared" si="2"/>
        <v>54275.457670000003</v>
      </c>
      <c r="D33" s="18" t="str">
        <f t="shared" si="3"/>
        <v>vis</v>
      </c>
      <c r="E33" s="53">
        <f>VLOOKUP(C33,'Active 1'!C$21:E$973,3,FALSE)</f>
        <v>4174.4081275292019</v>
      </c>
      <c r="F33" s="13" t="s">
        <v>72</v>
      </c>
      <c r="G33" s="18" t="str">
        <f t="shared" si="4"/>
        <v>54275.45767</v>
      </c>
      <c r="H33" s="14">
        <f t="shared" si="5"/>
        <v>532.5</v>
      </c>
      <c r="I33" s="54" t="s">
        <v>192</v>
      </c>
      <c r="J33" s="55" t="s">
        <v>193</v>
      </c>
      <c r="K33" s="54" t="s">
        <v>194</v>
      </c>
      <c r="L33" s="54" t="s">
        <v>195</v>
      </c>
      <c r="M33" s="55" t="s">
        <v>172</v>
      </c>
      <c r="N33" s="55" t="s">
        <v>118</v>
      </c>
      <c r="O33" s="56" t="s">
        <v>186</v>
      </c>
      <c r="P33" s="57" t="s">
        <v>175</v>
      </c>
    </row>
    <row r="34" spans="1:16" ht="12.75" customHeight="1" thickBot="1" x14ac:dyDescent="0.25">
      <c r="A34" s="14" t="str">
        <f t="shared" si="0"/>
        <v>OEJV 0074 </v>
      </c>
      <c r="B34" s="13" t="str">
        <f t="shared" si="1"/>
        <v>II</v>
      </c>
      <c r="C34" s="14">
        <f t="shared" si="2"/>
        <v>54275.45897</v>
      </c>
      <c r="D34" s="18" t="str">
        <f t="shared" si="3"/>
        <v>vis</v>
      </c>
      <c r="E34" s="53">
        <f>VLOOKUP(C34,'Active 1'!C$21:E$973,3,FALSE)</f>
        <v>4174.4085175891532</v>
      </c>
      <c r="F34" s="13" t="s">
        <v>72</v>
      </c>
      <c r="G34" s="18" t="str">
        <f t="shared" si="4"/>
        <v>54275.45897</v>
      </c>
      <c r="H34" s="14">
        <f t="shared" si="5"/>
        <v>532.5</v>
      </c>
      <c r="I34" s="54" t="s">
        <v>196</v>
      </c>
      <c r="J34" s="55" t="s">
        <v>197</v>
      </c>
      <c r="K34" s="54" t="s">
        <v>194</v>
      </c>
      <c r="L34" s="54" t="s">
        <v>198</v>
      </c>
      <c r="M34" s="55" t="s">
        <v>172</v>
      </c>
      <c r="N34" s="55" t="s">
        <v>72</v>
      </c>
      <c r="O34" s="56" t="s">
        <v>186</v>
      </c>
      <c r="P34" s="57" t="s">
        <v>175</v>
      </c>
    </row>
    <row r="35" spans="1:16" ht="12.75" customHeight="1" thickBot="1" x14ac:dyDescent="0.25">
      <c r="A35" s="14" t="str">
        <f t="shared" si="0"/>
        <v>OEJV 0074 </v>
      </c>
      <c r="B35" s="13" t="str">
        <f t="shared" si="1"/>
        <v>II</v>
      </c>
      <c r="C35" s="14">
        <f t="shared" si="2"/>
        <v>54275.46127</v>
      </c>
      <c r="D35" s="18" t="str">
        <f t="shared" si="3"/>
        <v>vis</v>
      </c>
      <c r="E35" s="53">
        <f>VLOOKUP(C35,'Active 1'!C$21:E$973,3,FALSE)</f>
        <v>4174.409207695222</v>
      </c>
      <c r="F35" s="13" t="s">
        <v>72</v>
      </c>
      <c r="G35" s="18" t="str">
        <f t="shared" si="4"/>
        <v>54275.46127</v>
      </c>
      <c r="H35" s="14">
        <f t="shared" si="5"/>
        <v>532.5</v>
      </c>
      <c r="I35" s="54" t="s">
        <v>199</v>
      </c>
      <c r="J35" s="55" t="s">
        <v>200</v>
      </c>
      <c r="K35" s="54" t="s">
        <v>194</v>
      </c>
      <c r="L35" s="54" t="s">
        <v>201</v>
      </c>
      <c r="M35" s="55" t="s">
        <v>172</v>
      </c>
      <c r="N35" s="55" t="s">
        <v>173</v>
      </c>
      <c r="O35" s="56" t="s">
        <v>186</v>
      </c>
      <c r="P35" s="57" t="s">
        <v>175</v>
      </c>
    </row>
    <row r="36" spans="1:16" ht="12.75" customHeight="1" thickBot="1" x14ac:dyDescent="0.25">
      <c r="A36" s="14" t="str">
        <f t="shared" si="0"/>
        <v>OEJV 0074 </v>
      </c>
      <c r="B36" s="13" t="str">
        <f t="shared" si="1"/>
        <v>I</v>
      </c>
      <c r="C36" s="14">
        <f t="shared" si="2"/>
        <v>54307.415419999998</v>
      </c>
      <c r="D36" s="18" t="str">
        <f t="shared" si="3"/>
        <v>vis</v>
      </c>
      <c r="E36" s="53">
        <f>VLOOKUP(C36,'Active 1'!C$21:E$973,3,FALSE)</f>
        <v>4183.9969263275752</v>
      </c>
      <c r="F36" s="13" t="s">
        <v>72</v>
      </c>
      <c r="G36" s="18" t="str">
        <f t="shared" si="4"/>
        <v>54307.41542</v>
      </c>
      <c r="H36" s="14">
        <f t="shared" si="5"/>
        <v>542</v>
      </c>
      <c r="I36" s="54" t="s">
        <v>202</v>
      </c>
      <c r="J36" s="55" t="s">
        <v>203</v>
      </c>
      <c r="K36" s="54" t="s">
        <v>204</v>
      </c>
      <c r="L36" s="54" t="s">
        <v>205</v>
      </c>
      <c r="M36" s="55" t="s">
        <v>172</v>
      </c>
      <c r="N36" s="55" t="s">
        <v>173</v>
      </c>
      <c r="O36" s="56" t="s">
        <v>186</v>
      </c>
      <c r="P36" s="57" t="s">
        <v>175</v>
      </c>
    </row>
    <row r="37" spans="1:16" ht="12.75" customHeight="1" thickBot="1" x14ac:dyDescent="0.25">
      <c r="A37" s="14" t="str">
        <f t="shared" si="0"/>
        <v>OEJV 0074 </v>
      </c>
      <c r="B37" s="13" t="str">
        <f t="shared" si="1"/>
        <v>I</v>
      </c>
      <c r="C37" s="14">
        <f t="shared" si="2"/>
        <v>54307.415520000002</v>
      </c>
      <c r="D37" s="18" t="str">
        <f t="shared" si="3"/>
        <v>vis</v>
      </c>
      <c r="E37" s="53">
        <f>VLOOKUP(C37,'Active 1'!C$21:E$973,3,FALSE)</f>
        <v>4183.9969563321883</v>
      </c>
      <c r="F37" s="13" t="s">
        <v>72</v>
      </c>
      <c r="G37" s="18" t="str">
        <f t="shared" si="4"/>
        <v>54307.41552</v>
      </c>
      <c r="H37" s="14">
        <f t="shared" si="5"/>
        <v>542</v>
      </c>
      <c r="I37" s="54" t="s">
        <v>206</v>
      </c>
      <c r="J37" s="55" t="s">
        <v>203</v>
      </c>
      <c r="K37" s="54" t="s">
        <v>204</v>
      </c>
      <c r="L37" s="54" t="s">
        <v>207</v>
      </c>
      <c r="M37" s="55" t="s">
        <v>172</v>
      </c>
      <c r="N37" s="55" t="s">
        <v>118</v>
      </c>
      <c r="O37" s="56" t="s">
        <v>186</v>
      </c>
      <c r="P37" s="57" t="s">
        <v>175</v>
      </c>
    </row>
    <row r="38" spans="1:16" ht="12.75" customHeight="1" thickBot="1" x14ac:dyDescent="0.25">
      <c r="A38" s="14" t="str">
        <f t="shared" si="0"/>
        <v>OEJV 0074 </v>
      </c>
      <c r="B38" s="13" t="str">
        <f t="shared" si="1"/>
        <v>I</v>
      </c>
      <c r="C38" s="14">
        <f t="shared" si="2"/>
        <v>54307.415719999997</v>
      </c>
      <c r="D38" s="18" t="str">
        <f t="shared" si="3"/>
        <v>vis</v>
      </c>
      <c r="E38" s="53">
        <f>VLOOKUP(C38,'Active 1'!C$21:E$973,3,FALSE)</f>
        <v>4183.99701634141</v>
      </c>
      <c r="F38" s="13" t="s">
        <v>72</v>
      </c>
      <c r="G38" s="18" t="str">
        <f t="shared" si="4"/>
        <v>54307.41572</v>
      </c>
      <c r="H38" s="14">
        <f t="shared" si="5"/>
        <v>542</v>
      </c>
      <c r="I38" s="54" t="s">
        <v>208</v>
      </c>
      <c r="J38" s="55" t="s">
        <v>203</v>
      </c>
      <c r="K38" s="54" t="s">
        <v>204</v>
      </c>
      <c r="L38" s="54" t="s">
        <v>209</v>
      </c>
      <c r="M38" s="55" t="s">
        <v>172</v>
      </c>
      <c r="N38" s="55" t="s">
        <v>72</v>
      </c>
      <c r="O38" s="56" t="s">
        <v>186</v>
      </c>
      <c r="P38" s="57" t="s">
        <v>175</v>
      </c>
    </row>
    <row r="39" spans="1:16" ht="12.75" customHeight="1" thickBot="1" x14ac:dyDescent="0.25">
      <c r="A39" s="14" t="str">
        <f t="shared" si="0"/>
        <v>BAVM 209 </v>
      </c>
      <c r="B39" s="13" t="str">
        <f t="shared" si="1"/>
        <v>I</v>
      </c>
      <c r="C39" s="14">
        <f t="shared" si="2"/>
        <v>54937.312700000002</v>
      </c>
      <c r="D39" s="18" t="str">
        <f t="shared" si="3"/>
        <v>vis</v>
      </c>
      <c r="E39" s="53">
        <f>VLOOKUP(C39,'Active 1'!C$21:E$973,3,FALSE)</f>
        <v>4372.9951593559936</v>
      </c>
      <c r="F39" s="13" t="s">
        <v>72</v>
      </c>
      <c r="G39" s="18" t="str">
        <f t="shared" si="4"/>
        <v>54937.3127</v>
      </c>
      <c r="H39" s="14">
        <f t="shared" si="5"/>
        <v>731</v>
      </c>
      <c r="I39" s="54" t="s">
        <v>216</v>
      </c>
      <c r="J39" s="55" t="s">
        <v>217</v>
      </c>
      <c r="K39" s="54" t="s">
        <v>218</v>
      </c>
      <c r="L39" s="54" t="s">
        <v>219</v>
      </c>
      <c r="M39" s="55" t="s">
        <v>172</v>
      </c>
      <c r="N39" s="55" t="s">
        <v>179</v>
      </c>
      <c r="O39" s="56" t="s">
        <v>220</v>
      </c>
      <c r="P39" s="57" t="s">
        <v>221</v>
      </c>
    </row>
    <row r="40" spans="1:16" ht="12.75" customHeight="1" thickBot="1" x14ac:dyDescent="0.25">
      <c r="A40" s="14" t="str">
        <f t="shared" si="0"/>
        <v>OEJV 0160 </v>
      </c>
      <c r="B40" s="13" t="str">
        <f t="shared" si="1"/>
        <v>I</v>
      </c>
      <c r="C40" s="14">
        <f t="shared" si="2"/>
        <v>55680.53501</v>
      </c>
      <c r="D40" s="18" t="str">
        <f t="shared" si="3"/>
        <v>vis</v>
      </c>
      <c r="E40" s="53">
        <f>VLOOKUP(C40,'Active 1'!C$21:E$973,3,FALSE)</f>
        <v>4595.9961276048125</v>
      </c>
      <c r="F40" s="13" t="s">
        <v>72</v>
      </c>
      <c r="G40" s="18" t="str">
        <f t="shared" si="4"/>
        <v>55680.53501</v>
      </c>
      <c r="H40" s="14">
        <f t="shared" si="5"/>
        <v>954</v>
      </c>
      <c r="I40" s="54" t="s">
        <v>222</v>
      </c>
      <c r="J40" s="55" t="s">
        <v>223</v>
      </c>
      <c r="K40" s="54" t="s">
        <v>224</v>
      </c>
      <c r="L40" s="54" t="s">
        <v>225</v>
      </c>
      <c r="M40" s="55" t="s">
        <v>172</v>
      </c>
      <c r="N40" s="55" t="s">
        <v>173</v>
      </c>
      <c r="O40" s="56" t="s">
        <v>226</v>
      </c>
      <c r="P40" s="57" t="s">
        <v>227</v>
      </c>
    </row>
    <row r="41" spans="1:16" ht="12.75" customHeight="1" thickBot="1" x14ac:dyDescent="0.25">
      <c r="A41" s="14" t="str">
        <f t="shared" si="0"/>
        <v>IBVS 314 </v>
      </c>
      <c r="B41" s="13" t="str">
        <f t="shared" si="1"/>
        <v>I</v>
      </c>
      <c r="C41" s="14">
        <f t="shared" si="2"/>
        <v>38906.455000000002</v>
      </c>
      <c r="D41" s="18" t="str">
        <f t="shared" si="3"/>
        <v>vis</v>
      </c>
      <c r="E41" s="53">
        <f>VLOOKUP(C41,'Active 1'!C$21:E$973,3,FALSE)</f>
        <v>-437.00144712242258</v>
      </c>
      <c r="F41" s="13" t="s">
        <v>72</v>
      </c>
      <c r="G41" s="18" t="str">
        <f t="shared" si="4"/>
        <v>38906.455</v>
      </c>
      <c r="H41" s="14">
        <f t="shared" si="5"/>
        <v>-4079</v>
      </c>
      <c r="I41" s="54" t="s">
        <v>74</v>
      </c>
      <c r="J41" s="55" t="s">
        <v>75</v>
      </c>
      <c r="K41" s="54">
        <v>-4079</v>
      </c>
      <c r="L41" s="54" t="s">
        <v>76</v>
      </c>
      <c r="M41" s="55" t="s">
        <v>77</v>
      </c>
      <c r="N41" s="55" t="s">
        <v>78</v>
      </c>
      <c r="O41" s="56" t="s">
        <v>79</v>
      </c>
      <c r="P41" s="57" t="s">
        <v>80</v>
      </c>
    </row>
    <row r="42" spans="1:16" ht="12.75" customHeight="1" thickBot="1" x14ac:dyDescent="0.25">
      <c r="A42" s="14" t="str">
        <f t="shared" si="0"/>
        <v>VSB 47 </v>
      </c>
      <c r="B42" s="13" t="str">
        <f t="shared" si="1"/>
        <v>I</v>
      </c>
      <c r="C42" s="14">
        <f t="shared" si="2"/>
        <v>46212.014999999999</v>
      </c>
      <c r="D42" s="18" t="str">
        <f t="shared" si="3"/>
        <v>vis</v>
      </c>
      <c r="E42" s="53">
        <f>VLOOKUP(C42,'Active 1'!C$21:E$973,3,FALSE)</f>
        <v>1755.0034640324211</v>
      </c>
      <c r="F42" s="13" t="s">
        <v>72</v>
      </c>
      <c r="G42" s="18" t="str">
        <f t="shared" si="4"/>
        <v>46212.015</v>
      </c>
      <c r="H42" s="14">
        <f t="shared" si="5"/>
        <v>-1887</v>
      </c>
      <c r="I42" s="54" t="s">
        <v>94</v>
      </c>
      <c r="J42" s="55" t="s">
        <v>95</v>
      </c>
      <c r="K42" s="54">
        <v>-1887</v>
      </c>
      <c r="L42" s="54" t="s">
        <v>96</v>
      </c>
      <c r="M42" s="55" t="s">
        <v>97</v>
      </c>
      <c r="N42" s="55"/>
      <c r="O42" s="56" t="s">
        <v>98</v>
      </c>
      <c r="P42" s="57" t="s">
        <v>99</v>
      </c>
    </row>
    <row r="43" spans="1:16" ht="12.75" customHeight="1" thickBot="1" x14ac:dyDescent="0.25">
      <c r="A43" s="14" t="str">
        <f t="shared" si="0"/>
        <v>VSB 44 </v>
      </c>
      <c r="B43" s="13" t="str">
        <f t="shared" si="1"/>
        <v>I</v>
      </c>
      <c r="C43" s="14">
        <f t="shared" si="2"/>
        <v>53494.197200000002</v>
      </c>
      <c r="D43" s="18" t="str">
        <f t="shared" si="3"/>
        <v>vis</v>
      </c>
      <c r="E43" s="53">
        <f>VLOOKUP(C43,'Active 1'!C$21:E$973,3,FALSE)</f>
        <v>3939.9939570712022</v>
      </c>
      <c r="F43" s="13" t="s">
        <v>72</v>
      </c>
      <c r="G43" s="18" t="str">
        <f t="shared" si="4"/>
        <v>53494.1972</v>
      </c>
      <c r="H43" s="14">
        <f t="shared" si="5"/>
        <v>298</v>
      </c>
      <c r="I43" s="54" t="s">
        <v>164</v>
      </c>
      <c r="J43" s="55" t="s">
        <v>165</v>
      </c>
      <c r="K43" s="54">
        <v>298</v>
      </c>
      <c r="L43" s="54" t="s">
        <v>166</v>
      </c>
      <c r="M43" s="55" t="s">
        <v>77</v>
      </c>
      <c r="N43" s="55" t="s">
        <v>78</v>
      </c>
      <c r="O43" s="56" t="s">
        <v>167</v>
      </c>
      <c r="P43" s="57" t="s">
        <v>168</v>
      </c>
    </row>
    <row r="44" spans="1:16" ht="12.75" customHeight="1" thickBot="1" x14ac:dyDescent="0.25">
      <c r="A44" s="14" t="str">
        <f t="shared" si="0"/>
        <v>OEJV 0094 </v>
      </c>
      <c r="B44" s="13" t="str">
        <f t="shared" si="1"/>
        <v>I</v>
      </c>
      <c r="C44" s="14">
        <f t="shared" si="2"/>
        <v>54597.368600000002</v>
      </c>
      <c r="D44" s="18" t="str">
        <f t="shared" si="3"/>
        <v>vis</v>
      </c>
      <c r="E44" s="53">
        <f>VLOOKUP(C44,'Active 1'!C$21:E$973,3,FALSE)</f>
        <v>4270.9962521239513</v>
      </c>
      <c r="F44" s="13" t="s">
        <v>72</v>
      </c>
      <c r="G44" s="18" t="str">
        <f t="shared" si="4"/>
        <v>54597.3686</v>
      </c>
      <c r="H44" s="14">
        <f t="shared" si="5"/>
        <v>629</v>
      </c>
      <c r="I44" s="54" t="s">
        <v>210</v>
      </c>
      <c r="J44" s="55" t="s">
        <v>211</v>
      </c>
      <c r="K44" s="54" t="s">
        <v>212</v>
      </c>
      <c r="L44" s="54" t="s">
        <v>213</v>
      </c>
      <c r="M44" s="55" t="s">
        <v>172</v>
      </c>
      <c r="N44" s="55" t="s">
        <v>173</v>
      </c>
      <c r="O44" s="56" t="s">
        <v>214</v>
      </c>
      <c r="P44" s="57" t="s">
        <v>215</v>
      </c>
    </row>
    <row r="45" spans="1:16" ht="12.75" customHeight="1" thickBot="1" x14ac:dyDescent="0.25">
      <c r="A45" s="14" t="str">
        <f t="shared" si="0"/>
        <v>BAVM 238 </v>
      </c>
      <c r="B45" s="13" t="str">
        <f t="shared" si="1"/>
        <v>I</v>
      </c>
      <c r="C45" s="14">
        <f t="shared" si="2"/>
        <v>56730.363799999999</v>
      </c>
      <c r="D45" s="18" t="str">
        <f t="shared" si="3"/>
        <v>vis</v>
      </c>
      <c r="E45" s="53">
        <f>VLOOKUP(C45,'Active 1'!C$21:E$973,3,FALSE)</f>
        <v>4910.9931796517121</v>
      </c>
      <c r="F45" s="13" t="s">
        <v>72</v>
      </c>
      <c r="G45" s="18" t="str">
        <f t="shared" si="4"/>
        <v>56730.3638</v>
      </c>
      <c r="H45" s="14">
        <f t="shared" si="5"/>
        <v>1269</v>
      </c>
      <c r="I45" s="54" t="s">
        <v>228</v>
      </c>
      <c r="J45" s="55" t="s">
        <v>229</v>
      </c>
      <c r="K45" s="54" t="s">
        <v>230</v>
      </c>
      <c r="L45" s="54" t="s">
        <v>231</v>
      </c>
      <c r="M45" s="55" t="s">
        <v>172</v>
      </c>
      <c r="N45" s="55" t="s">
        <v>179</v>
      </c>
      <c r="O45" s="56" t="s">
        <v>119</v>
      </c>
      <c r="P45" s="57" t="s">
        <v>232</v>
      </c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</sheetData>
  <phoneticPr fontId="8" type="noConversion"/>
  <hyperlinks>
    <hyperlink ref="A3" r:id="rId1" xr:uid="{00000000-0004-0000-0100-000000000000}"/>
    <hyperlink ref="P41" r:id="rId2" display="http://www.konkoly.hu/cgi-bin/IBVS?314" xr:uid="{00000000-0004-0000-0100-000001000000}"/>
    <hyperlink ref="P11" r:id="rId3" display="http://www.konkoly.hu/cgi-bin/IBVS?365" xr:uid="{00000000-0004-0000-0100-000002000000}"/>
    <hyperlink ref="P12" r:id="rId4" display="http://www.konkoly.hu/cgi-bin/IBVS?1007" xr:uid="{00000000-0004-0000-0100-000003000000}"/>
    <hyperlink ref="P13" r:id="rId5" display="http://www.konkoly.hu/cgi-bin/IBVS?1007" xr:uid="{00000000-0004-0000-0100-000004000000}"/>
    <hyperlink ref="P42" r:id="rId6" display="http://vsolj.cetus-net.org/no47.pdf" xr:uid="{00000000-0004-0000-0100-000005000000}"/>
    <hyperlink ref="P15" r:id="rId7" display="http://www.konkoly.hu/cgi-bin/IBVS?3900" xr:uid="{00000000-0004-0000-0100-000006000000}"/>
    <hyperlink ref="P17" r:id="rId8" display="http://www.bav-astro.de/sfs/BAVM_link.php?BAVMnr=62" xr:uid="{00000000-0004-0000-0100-000007000000}"/>
    <hyperlink ref="P18" r:id="rId9" display="http://www.bav-astro.de/sfs/BAVM_link.php?BAVMnr=62" xr:uid="{00000000-0004-0000-0100-000008000000}"/>
    <hyperlink ref="P19" r:id="rId10" display="http://www.konkoly.hu/cgi-bin/IBVS?3903" xr:uid="{00000000-0004-0000-0100-000009000000}"/>
    <hyperlink ref="P20" r:id="rId11" display="http://www.bav-astro.de/sfs/BAVM_link.php?BAVMnr=68" xr:uid="{00000000-0004-0000-0100-00000A000000}"/>
    <hyperlink ref="P21" r:id="rId12" display="http://www.bav-astro.de/sfs/BAVM_link.php?BAVMnr=68" xr:uid="{00000000-0004-0000-0100-00000B000000}"/>
    <hyperlink ref="P24" r:id="rId13" display="http://www.konkoly.hu/cgi-bin/IBVS?5463" xr:uid="{00000000-0004-0000-0100-00000C000000}"/>
    <hyperlink ref="P25" r:id="rId14" display="http://www.konkoly.hu/cgi-bin/IBVS?5463" xr:uid="{00000000-0004-0000-0100-00000D000000}"/>
    <hyperlink ref="P26" r:id="rId15" display="http://www.konkoly.hu/cgi-bin/IBVS?5595" xr:uid="{00000000-0004-0000-0100-00000E000000}"/>
    <hyperlink ref="P27" r:id="rId16" display="http://www.konkoly.hu/cgi-bin/IBVS?5745" xr:uid="{00000000-0004-0000-0100-00000F000000}"/>
    <hyperlink ref="P43" r:id="rId17" display="http://vsolj.cetus-net.org/no44.pdf" xr:uid="{00000000-0004-0000-0100-000010000000}"/>
    <hyperlink ref="P28" r:id="rId18" display="http://var.astro.cz/oejv/issues/oejv0074.pdf" xr:uid="{00000000-0004-0000-0100-000011000000}"/>
    <hyperlink ref="P29" r:id="rId19" display="http://www.bav-astro.de/sfs/BAVM_link.php?BAVMnr=178" xr:uid="{00000000-0004-0000-0100-000012000000}"/>
    <hyperlink ref="P30" r:id="rId20" display="http://var.astro.cz/oejv/issues/oejv0074.pdf" xr:uid="{00000000-0004-0000-0100-000013000000}"/>
    <hyperlink ref="P31" r:id="rId21" display="http://var.astro.cz/oejv/issues/oejv0074.pdf" xr:uid="{00000000-0004-0000-0100-000014000000}"/>
    <hyperlink ref="P32" r:id="rId22" display="http://var.astro.cz/oejv/issues/oejv0074.pdf" xr:uid="{00000000-0004-0000-0100-000015000000}"/>
    <hyperlink ref="P33" r:id="rId23" display="http://var.astro.cz/oejv/issues/oejv0074.pdf" xr:uid="{00000000-0004-0000-0100-000016000000}"/>
    <hyperlink ref="P34" r:id="rId24" display="http://var.astro.cz/oejv/issues/oejv0074.pdf" xr:uid="{00000000-0004-0000-0100-000017000000}"/>
    <hyperlink ref="P35" r:id="rId25" display="http://var.astro.cz/oejv/issues/oejv0074.pdf" xr:uid="{00000000-0004-0000-0100-000018000000}"/>
    <hyperlink ref="P36" r:id="rId26" display="http://var.astro.cz/oejv/issues/oejv0074.pdf" xr:uid="{00000000-0004-0000-0100-000019000000}"/>
    <hyperlink ref="P37" r:id="rId27" display="http://var.astro.cz/oejv/issues/oejv0074.pdf" xr:uid="{00000000-0004-0000-0100-00001A000000}"/>
    <hyperlink ref="P38" r:id="rId28" display="http://var.astro.cz/oejv/issues/oejv0074.pdf" xr:uid="{00000000-0004-0000-0100-00001B000000}"/>
    <hyperlink ref="P44" r:id="rId29" display="http://var.astro.cz/oejv/issues/oejv0094.pdf" xr:uid="{00000000-0004-0000-0100-00001C000000}"/>
    <hyperlink ref="P39" r:id="rId30" display="http://www.bav-astro.de/sfs/BAVM_link.php?BAVMnr=209" xr:uid="{00000000-0004-0000-0100-00001D000000}"/>
    <hyperlink ref="P40" r:id="rId31" display="http://var.astro.cz/oejv/issues/oejv0160.pdf" xr:uid="{00000000-0004-0000-0100-00001E000000}"/>
    <hyperlink ref="P45" r:id="rId32" display="http://www.bav-astro.de/sfs/BAVM_link.php?BAVMnr=238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2024-01-15T04:08:27Z</dcterms:modified>
</cp:coreProperties>
</file>