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82326AE-C4F5-428D-AD41-02150452A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41" i="1"/>
  <c r="F41" i="1"/>
  <c r="Q43" i="1"/>
  <c r="D9" i="1"/>
  <c r="C9" i="1"/>
  <c r="Q44" i="1"/>
  <c r="Q42" i="1"/>
  <c r="Q40" i="1"/>
  <c r="Q41" i="1"/>
  <c r="E24" i="1"/>
  <c r="F24" i="1"/>
  <c r="E32" i="1"/>
  <c r="F32" i="1"/>
  <c r="Q39" i="1"/>
  <c r="Q38" i="1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C21" i="2"/>
  <c r="E21" i="2"/>
  <c r="D21" i="2"/>
  <c r="A21" i="2"/>
  <c r="H20" i="2"/>
  <c r="B20" i="2"/>
  <c r="G20" i="2"/>
  <c r="D20" i="2"/>
  <c r="C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C15" i="2"/>
  <c r="D15" i="2"/>
  <c r="B15" i="2"/>
  <c r="A15" i="2"/>
  <c r="H14" i="2"/>
  <c r="G14" i="2"/>
  <c r="D14" i="2"/>
  <c r="C14" i="2"/>
  <c r="E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C11" i="2"/>
  <c r="D11" i="2"/>
  <c r="B11" i="2"/>
  <c r="A11" i="2"/>
  <c r="Q23" i="1"/>
  <c r="Q26" i="1"/>
  <c r="Q37" i="1"/>
  <c r="Q36" i="1"/>
  <c r="Q35" i="1"/>
  <c r="Q34" i="1"/>
  <c r="Q33" i="1"/>
  <c r="Q21" i="1"/>
  <c r="Q22" i="1"/>
  <c r="Q24" i="1"/>
  <c r="Q27" i="1"/>
  <c r="Q28" i="1"/>
  <c r="Q29" i="1"/>
  <c r="Q30" i="1"/>
  <c r="Q31" i="1"/>
  <c r="Q32" i="1"/>
  <c r="C7" i="1"/>
  <c r="E43" i="1"/>
  <c r="F43" i="1"/>
  <c r="C8" i="1"/>
  <c r="F16" i="1"/>
  <c r="F17" i="1" s="1"/>
  <c r="C17" i="1"/>
  <c r="Q25" i="1"/>
  <c r="E24" i="2"/>
  <c r="E15" i="2"/>
  <c r="E25" i="2"/>
  <c r="E37" i="1"/>
  <c r="G31" i="1"/>
  <c r="K31" i="1"/>
  <c r="E29" i="1"/>
  <c r="E21" i="1"/>
  <c r="F21" i="1"/>
  <c r="E34" i="1"/>
  <c r="F34" i="1"/>
  <c r="G34" i="1"/>
  <c r="K34" i="1"/>
  <c r="G28" i="1"/>
  <c r="K28" i="1"/>
  <c r="E26" i="1"/>
  <c r="F26" i="1"/>
  <c r="G26" i="1"/>
  <c r="J26" i="1"/>
  <c r="E44" i="1"/>
  <c r="F44" i="1"/>
  <c r="G44" i="1"/>
  <c r="K44" i="1"/>
  <c r="E31" i="1"/>
  <c r="F31" i="1"/>
  <c r="E23" i="1"/>
  <c r="F23" i="1"/>
  <c r="G23" i="1"/>
  <c r="J23" i="1"/>
  <c r="G39" i="1"/>
  <c r="K39" i="1"/>
  <c r="G42" i="1"/>
  <c r="I42" i="1"/>
  <c r="E40" i="1"/>
  <c r="F40" i="1"/>
  <c r="G40" i="1"/>
  <c r="G38" i="1"/>
  <c r="K38" i="1"/>
  <c r="E36" i="1"/>
  <c r="F36" i="1"/>
  <c r="G36" i="1"/>
  <c r="K36" i="1"/>
  <c r="E28" i="1"/>
  <c r="F28" i="1"/>
  <c r="G35" i="1"/>
  <c r="K35" i="1"/>
  <c r="E33" i="1"/>
  <c r="F33" i="1"/>
  <c r="G33" i="1"/>
  <c r="K33" i="1"/>
  <c r="G27" i="1"/>
  <c r="K27" i="1"/>
  <c r="E25" i="1"/>
  <c r="F25" i="1"/>
  <c r="G25" i="1"/>
  <c r="K25" i="1"/>
  <c r="E39" i="1"/>
  <c r="F39" i="1"/>
  <c r="E42" i="1"/>
  <c r="F42" i="1"/>
  <c r="G43" i="1"/>
  <c r="K43" i="1"/>
  <c r="E38" i="1"/>
  <c r="F38" i="1"/>
  <c r="G32" i="1"/>
  <c r="K32" i="1"/>
  <c r="E30" i="1"/>
  <c r="F30" i="1"/>
  <c r="G30" i="1"/>
  <c r="K30" i="1"/>
  <c r="G24" i="1"/>
  <c r="K24" i="1"/>
  <c r="E22" i="1"/>
  <c r="F22" i="1"/>
  <c r="G22" i="1"/>
  <c r="J22" i="1"/>
  <c r="G41" i="1"/>
  <c r="K41" i="1"/>
  <c r="E35" i="1"/>
  <c r="F35" i="1"/>
  <c r="E27" i="1"/>
  <c r="F27" i="1"/>
  <c r="G21" i="1"/>
  <c r="J21" i="1"/>
  <c r="K40" i="1"/>
  <c r="F37" i="1"/>
  <c r="G37" i="1"/>
  <c r="K37" i="1"/>
  <c r="E26" i="2"/>
  <c r="E20" i="2"/>
  <c r="F29" i="1"/>
  <c r="G29" i="1"/>
  <c r="K29" i="1"/>
  <c r="E18" i="2"/>
  <c r="E12" i="2"/>
  <c r="E22" i="2"/>
  <c r="E19" i="2"/>
  <c r="E17" i="2"/>
  <c r="E13" i="2"/>
  <c r="E16" i="2"/>
  <c r="E27" i="2"/>
  <c r="E23" i="2"/>
  <c r="E11" i="2"/>
  <c r="C12" i="1"/>
  <c r="C11" i="1"/>
  <c r="O47" i="1" l="1"/>
  <c r="O51" i="1"/>
  <c r="O46" i="1"/>
  <c r="O50" i="1"/>
  <c r="O45" i="1"/>
  <c r="O49" i="1"/>
  <c r="O53" i="1"/>
  <c r="O48" i="1"/>
  <c r="O52" i="1"/>
  <c r="O42" i="1"/>
  <c r="O39" i="1"/>
  <c r="O40" i="1"/>
  <c r="C15" i="1"/>
  <c r="O38" i="1"/>
  <c r="O37" i="1"/>
  <c r="O44" i="1"/>
  <c r="O41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<sst xmlns="http://schemas.openxmlformats.org/spreadsheetml/2006/main" count="259" uniqueCount="147">
  <si>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</si>
  <si>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</si>
  <si>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</si>
  <si>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</si>
  <si>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</si>
  <si>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</si>
  <si>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</si>
  <si>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</si>
  <si>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</si>
  <si>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</si>
  <si>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</si>
  <si>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</si>
  <si>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</si>
  <si>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</si>
  <si>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</si>
  <si>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</si>
  <si>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</si>
  <si>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</si>
  <si>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</si>
  <si>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</si>
  <si>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</si>
  <si>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</si>
  <si>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</si>
  <si>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</si>
  <si>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</si>
  <si>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</si>
  <si>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</si>
  <si>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</si>
  <si>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</si>
  <si>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</si>
  <si>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</si>
  <si>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</si>
  <si>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</si>
  <si>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</si>
  <si>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</si>
  <si>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</si>
  <si>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</si>
  <si>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EL Boo / GSC 0917-0426</t>
  </si>
  <si>
    <t>EW</t>
  </si>
  <si>
    <t>IBVS 5754</t>
  </si>
  <si>
    <t>I</t>
  </si>
  <si>
    <t>OEJV 0094</t>
  </si>
  <si>
    <t>II</t>
  </si>
  <si>
    <t>IBVS 6007</t>
  </si>
  <si>
    <t>IBVS 6005</t>
  </si>
  <si>
    <t>OEJV 0160</t>
  </si>
  <si>
    <t>IBVS 6125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</si>
  <si>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</si>
  <si>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</si>
  <si>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</si>
  <si>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</si>
  <si>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</si>
  <si>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</si>
  <si>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</si>
  <si>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</si>
  <si>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</si>
  <si>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</si>
  <si>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</si>
  <si>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</si>
  <si>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2453149.4506 </t>
  </si>
  <si>
    <t> 23.05.2004 22:48 </t>
  </si>
  <si>
    <t> -0.0022 </t>
  </si>
  <si>
    <t>C </t>
  </si>
  <si>
    <t>m</t>
  </si>
  <si>
    <t> A.Elmasli </t>
  </si>
  <si>
    <t>IBVS 5754 </t>
  </si>
  <si>
    <t>2453177.3796 </t>
  </si>
  <si>
    <t> 20.06.2004 21:06 </t>
  </si>
  <si>
    <t> -0.0023 </t>
  </si>
  <si>
    <t> D.Çinar </t>
  </si>
  <si>
    <t>2454261.4409 </t>
  </si>
  <si>
    <t> 09.06.2007 22:34 </t>
  </si>
  <si>
    <t> -0.0032 </t>
  </si>
  <si>
    <t>o</t>
  </si>
  <si>
    <t> H.Jungbluth </t>
  </si>
  <si>
    <t>BAVM 215 </t>
  </si>
  <si>
    <t>2454508.66496 </t>
  </si>
  <si>
    <t> 12.02.2008 03:57 </t>
  </si>
  <si>
    <t> -0.00325 </t>
  </si>
  <si>
    <t>R</t>
  </si>
  <si>
    <t> L.Brát </t>
  </si>
  <si>
    <t>OEJV 0094 </t>
  </si>
  <si>
    <t>2454639.4151 </t>
  </si>
  <si>
    <t> 21.06.2008 21:57 </t>
  </si>
  <si>
    <t> -0.0026 </t>
  </si>
  <si>
    <t>2455643.60973 </t>
  </si>
  <si>
    <t> 23.03.2011 02:38 </t>
  </si>
  <si>
    <t> -0.01368 </t>
  </si>
  <si>
    <t> R.Uhlar </t>
  </si>
  <si>
    <t>IBVS 6007 </t>
  </si>
  <si>
    <t>2455696.3621 </t>
  </si>
  <si>
    <t> 14.05.2011 20:41 </t>
  </si>
  <si>
    <t> -0.0162 </t>
  </si>
  <si>
    <t> A.Liakos &amp; P.Niarchos </t>
  </si>
  <si>
    <t>IBVS 6005 </t>
  </si>
  <si>
    <t>2455697.3952 </t>
  </si>
  <si>
    <t> 15.05.2011 21:29 </t>
  </si>
  <si>
    <t> -0.0176 </t>
  </si>
  <si>
    <t>2455698.4311 </t>
  </si>
  <si>
    <t> 16.05.2011 22:20 </t>
  </si>
  <si>
    <t> -0.0161 </t>
  </si>
  <si>
    <t>2455699.4665 </t>
  </si>
  <si>
    <t> 17.05.2011 23:11 </t>
  </si>
  <si>
    <t> -0.0151 </t>
  </si>
  <si>
    <t>2455702.3606 </t>
  </si>
  <si>
    <t> 20.05.2011 20:39 </t>
  </si>
  <si>
    <t> -0.0173 </t>
  </si>
  <si>
    <t>2456003.58194 </t>
  </si>
  <si>
    <t> 17.03.2012 01:57 </t>
  </si>
  <si>
    <t> -0.01633 </t>
  </si>
  <si>
    <t> M.Mašek </t>
  </si>
  <si>
    <t>OEJV 0160 </t>
  </si>
  <si>
    <t>2456420.4498 </t>
  </si>
  <si>
    <t> 07.05.2013 22:47 </t>
  </si>
  <si>
    <t> -0.0159 </t>
  </si>
  <si>
    <t> D.Öztürk </t>
  </si>
  <si>
    <t>IBVS 6125 </t>
  </si>
  <si>
    <t>2456441.3421 </t>
  </si>
  <si>
    <t> 28.05.2013 20:12 </t>
  </si>
  <si>
    <t> -0.0187 </t>
  </si>
  <si>
    <t> Z.Avci </t>
  </si>
  <si>
    <t>2456444.4470 </t>
  </si>
  <si>
    <t> 31.05.2013 22:43 </t>
  </si>
  <si>
    <t> -0.0170 </t>
  </si>
  <si>
    <t> R.Orhan </t>
  </si>
  <si>
    <t>2456477.3406 </t>
  </si>
  <si>
    <t> 03.07.2013 20:10 </t>
  </si>
  <si>
    <t> -0.0177 </t>
  </si>
  <si>
    <t> A.Özkeles </t>
  </si>
  <si>
    <t>2457154.4535 </t>
  </si>
  <si>
    <t> 11.05.2015 22:53 </t>
  </si>
  <si>
    <t> -0.0299 </t>
  </si>
  <si>
    <t>-I</t>
  </si>
  <si>
    <t> F.Agerer </t>
  </si>
  <si>
    <t>BAVM 241 (=IBVS 6157) </t>
  </si>
  <si>
    <t>s5</t>
  </si>
  <si>
    <t>s6</t>
  </si>
  <si>
    <t>s7</t>
  </si>
  <si>
    <t>IBVS 6157</t>
  </si>
  <si>
    <t>RHN 2020</t>
  </si>
  <si>
    <t>OEJV 0211</t>
  </si>
  <si>
    <t>VSB, 91</t>
  </si>
  <si>
    <t>JBAV, 55</t>
  </si>
  <si>
    <t>JBAV, 63</t>
  </si>
  <si>
    <t>B</t>
  </si>
  <si>
    <t>Rc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</si>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</sst>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 wrapText="1"/>
    </xf>
    <xf numFmtId="0" fontId="15" fillId="0" borderId="0" xfId="43" applyFont="1" applyAlignment="1">
      <alignment horizontal="left" wrapText="1"/>
    </xf>
    <xf numFmtId="0" fontId="35" fillId="0" borderId="0" xfId="0" applyFont="1" applyAlignment="1"/>
    <xf numFmtId="0" fontId="15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D-4649-A318-D0D1BF63A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1">
                  <c:v>-4.917499994917307E-3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D-4649-A318-D0D1BF63A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-2.2146000046632253E-3</c:v>
                </c:pt>
                <c:pt idx="1">
                  <c:v>-2.2981000001891516E-3</c:v>
                </c:pt>
                <c:pt idx="2">
                  <c:v>-3.2021000006352551E-3</c:v>
                </c:pt>
                <c:pt idx="5">
                  <c:v>-2.5988000052166171E-3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D-4649-A318-D0D1BF63A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-3.251599999202881E-3</c:v>
                </c:pt>
                <c:pt idx="4">
                  <c:v>0</c:v>
                </c:pt>
                <c:pt idx="6">
                  <c:v>-1.3682200005860068E-2</c:v>
                </c:pt>
                <c:pt idx="7">
                  <c:v>-1.6247700004896615E-2</c:v>
                </c:pt>
                <c:pt idx="8">
                  <c:v>-1.7558200001076329E-2</c:v>
                </c:pt>
                <c:pt idx="9">
                  <c:v>-1.6068699995230418E-2</c:v>
                </c:pt>
                <c:pt idx="10">
                  <c:v>-1.5079199998581316E-2</c:v>
                </c:pt>
                <c:pt idx="11">
                  <c:v>-1.7328599999018479E-2</c:v>
                </c:pt>
                <c:pt idx="12">
                  <c:v>-1.632620000600582E-2</c:v>
                </c:pt>
                <c:pt idx="13">
                  <c:v>-1.5897699995548464E-2</c:v>
                </c:pt>
                <c:pt idx="14">
                  <c:v>-1.8689799995627254E-2</c:v>
                </c:pt>
                <c:pt idx="15">
                  <c:v>-1.7021300001943018E-2</c:v>
                </c:pt>
                <c:pt idx="16">
                  <c:v>-1.7675199997029267E-2</c:v>
                </c:pt>
                <c:pt idx="17">
                  <c:v>-2.9888499993830919E-2</c:v>
                </c:pt>
                <c:pt idx="18">
                  <c:v>-1.5485900003113784E-2</c:v>
                </c:pt>
                <c:pt idx="19">
                  <c:v>-2.0405099996423814E-2</c:v>
                </c:pt>
                <c:pt idx="20">
                  <c:v>-2.2487199996248819E-2</c:v>
                </c:pt>
                <c:pt idx="22">
                  <c:v>-2.3909199779154733E-2</c:v>
                </c:pt>
                <c:pt idx="23">
                  <c:v>-5.0756799995724577E-2</c:v>
                </c:pt>
                <c:pt idx="24">
                  <c:v>-6.4853999814658891E-2</c:v>
                </c:pt>
                <c:pt idx="25">
                  <c:v>-6.3153999908536207E-2</c:v>
                </c:pt>
                <c:pt idx="26">
                  <c:v>-6.1954000084369909E-2</c:v>
                </c:pt>
                <c:pt idx="27">
                  <c:v>-6.1954000084369909E-2</c:v>
                </c:pt>
                <c:pt idx="28">
                  <c:v>-6.2634900074044708E-2</c:v>
                </c:pt>
                <c:pt idx="29">
                  <c:v>-6.2134899992088322E-2</c:v>
                </c:pt>
                <c:pt idx="30">
                  <c:v>-6.1134899828175548E-2</c:v>
                </c:pt>
                <c:pt idx="31">
                  <c:v>-6.3535799781675451E-2</c:v>
                </c:pt>
                <c:pt idx="32">
                  <c:v>-6.6116699999838602E-2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D-4649-A318-D0D1BF63A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D-4649-A318-D0D1BF63A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D-4649-A318-D0D1BF63A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D-4649-A318-D0D1BF63A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6">
                  <c:v>2.4872590061490937E-2</c:v>
                </c:pt>
                <c:pt idx="17">
                  <c:v>4.1816053176352425E-3</c:v>
                </c:pt>
                <c:pt idx="18">
                  <c:v>4.8517074816586819E-3</c:v>
                </c:pt>
                <c:pt idx="19">
                  <c:v>-1.760303673165492E-2</c:v>
                </c:pt>
                <c:pt idx="20">
                  <c:v>-1.7609358450183452E-2</c:v>
                </c:pt>
                <c:pt idx="21">
                  <c:v>-1.7881192346909935E-2</c:v>
                </c:pt>
                <c:pt idx="22">
                  <c:v>-1.8367964673606199E-2</c:v>
                </c:pt>
                <c:pt idx="23">
                  <c:v>-5.1594917259522949E-2</c:v>
                </c:pt>
                <c:pt idx="24">
                  <c:v>-6.2544133750924741E-2</c:v>
                </c:pt>
                <c:pt idx="25">
                  <c:v>-6.2544133750924741E-2</c:v>
                </c:pt>
                <c:pt idx="26">
                  <c:v>-6.2544133750924741E-2</c:v>
                </c:pt>
                <c:pt idx="27">
                  <c:v>-6.2544133750924741E-2</c:v>
                </c:pt>
                <c:pt idx="28">
                  <c:v>-6.2727463588251903E-2</c:v>
                </c:pt>
                <c:pt idx="29">
                  <c:v>-6.2727463588251903E-2</c:v>
                </c:pt>
                <c:pt idx="30">
                  <c:v>-6.2727463588251903E-2</c:v>
                </c:pt>
                <c:pt idx="31">
                  <c:v>-6.4175137131283672E-2</c:v>
                </c:pt>
                <c:pt idx="32">
                  <c:v>-6.4358466968610833E-2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D-4649-A318-D0D1BF6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319024"/>
        <c:axId val="1"/>
      </c:scatterChart>
      <c:valAx>
        <c:axId val="60831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31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F0FF74-CC46-67BD-42A8-249928CE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754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5" TargetMode="External"/><Relationship Id="rId17" Type="http://schemas.openxmlformats.org/officeDocument/2006/relationships/hyperlink" Target="http://www.konkoly.hu/cgi-bin/IBVS?6125" TargetMode="External"/><Relationship Id="rId2" Type="http://schemas.openxmlformats.org/officeDocument/2006/relationships/hyperlink" Target="http://www.konkoly.hu/cgi-bin/IBVS?5754" TargetMode="External"/><Relationship Id="rId16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konkoly.hu/cgi-bin/IBVS?6005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konkoly.hu/cgi-bin/IBVS?6125" TargetMode="External"/><Relationship Id="rId10" Type="http://schemas.openxmlformats.org/officeDocument/2006/relationships/hyperlink" Target="http://www.konkoly.hu/cgi-bin/IBVS?600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konkoly.hu/cgi-bin/IBVS?6005" TargetMode="External"/><Relationship Id="rId14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36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27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54633.625</v>
      </c>
      <c r="D4" s="9">
        <v>0.41376420000000003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54633.625</v>
      </c>
    </row>
    <row r="8" spans="1:6" x14ac:dyDescent="0.2">
      <c r="A8" t="s">
        <v>6</v>
      </c>
      <c r="C8">
        <f>+D4</f>
        <v>0.41376420000000003</v>
      </c>
    </row>
    <row r="9" spans="1:6" x14ac:dyDescent="0.2">
      <c r="A9" s="26" t="s">
        <v>33</v>
      </c>
      <c r="B9" s="27">
        <v>40</v>
      </c>
      <c r="C9" s="24" t="str">
        <f>"F"&amp;B9</f>
        <v>F40</v>
      </c>
      <c r="D9" s="25" t="str">
        <f>"G"&amp;B9</f>
        <v>G40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8.1211745587687678E-2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-1.2643437057045947E-5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59397.227882454747</v>
      </c>
      <c r="E15" s="16" t="s">
        <v>34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0.41375155656294299</v>
      </c>
      <c r="E16" s="16" t="s">
        <v>31</v>
      </c>
      <c r="F16" s="17">
        <f ca="1">NOW()+15018.5+$C$5/24</f>
        <v>60324.71919236111</v>
      </c>
    </row>
    <row r="17" spans="1:17" ht="13.5" thickBot="1" x14ac:dyDescent="0.25">
      <c r="A17" s="16" t="s">
        <v>28</v>
      </c>
      <c r="B17" s="12"/>
      <c r="C17" s="12">
        <f>COUNT(C21:C2191)</f>
        <v>33</v>
      </c>
      <c r="E17" s="16" t="s">
        <v>35</v>
      </c>
      <c r="F17" s="17">
        <f ca="1">ROUND(2*(F16-$C$7)/$C$8,0)/2+F15</f>
        <v>13755.5</v>
      </c>
    </row>
    <row r="18" spans="1:17" ht="14.25" thickTop="1" thickBot="1" x14ac:dyDescent="0.25">
      <c r="A18" s="18" t="s">
        <v>8</v>
      </c>
      <c r="B18" s="12"/>
      <c r="C18" s="21">
        <f ca="1">+C15</f>
        <v>59397.227882454747</v>
      </c>
      <c r="D18" s="22">
        <f ca="1">+C16</f>
        <v>0.41375155656294299</v>
      </c>
      <c r="E18" s="16" t="s">
        <v>36</v>
      </c>
      <c r="F18" s="25">
        <f ca="1">ROUND(2*(F16-$C$15)/$C$16,0)/2+F15</f>
        <v>2242.5</v>
      </c>
    </row>
    <row r="19" spans="1:17" ht="13.5" thickTop="1" x14ac:dyDescent="0.2">
      <c r="E19" s="16" t="s">
        <v>32</v>
      </c>
      <c r="F19" s="20">
        <f ca="1">+$C$15+$C$16*F18-15018.5-$C$5/24</f>
        <v>45306.961581380485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135</v>
      </c>
      <c r="M20" s="7" t="s">
        <v>136</v>
      </c>
      <c r="N20" s="7" t="s">
        <v>137</v>
      </c>
      <c r="O20" s="7" t="s">
        <v>26</v>
      </c>
      <c r="P20" s="6" t="s">
        <v>25</v>
      </c>
      <c r="Q20" s="4" t="s">
        <v>18</v>
      </c>
    </row>
    <row r="21" spans="1:17" x14ac:dyDescent="0.2">
      <c r="A21" s="28" t="s">
        <v>39</v>
      </c>
      <c r="B21" s="29" t="s">
        <v>40</v>
      </c>
      <c r="C21" s="28">
        <v>53149.450599999996</v>
      </c>
      <c r="D21" s="28">
        <v>1.4E-3</v>
      </c>
      <c r="E21">
        <f t="shared" ref="E21:E38" si="0">+(C21-C$7)/C$8</f>
        <v>-3587.005352323868</v>
      </c>
      <c r="F21">
        <f t="shared" ref="F21:F38" si="1">ROUND(2*E21,0)/2</f>
        <v>-3587</v>
      </c>
      <c r="G21">
        <f t="shared" ref="G21:G38" si="2">+C21-(C$7+F21*C$8)</f>
        <v>-2.2146000046632253E-3</v>
      </c>
      <c r="J21">
        <f>+G21</f>
        <v>-2.2146000046632253E-3</v>
      </c>
      <c r="Q21" s="2">
        <f t="shared" ref="Q21:Q38" si="3">+C21-15018.5</f>
        <v>38130.950599999996</v>
      </c>
    </row>
    <row r="22" spans="1:17" x14ac:dyDescent="0.2">
      <c r="A22" s="28" t="s">
        <v>39</v>
      </c>
      <c r="B22" s="29" t="s">
        <v>40</v>
      </c>
      <c r="C22" s="28">
        <v>53177.3796</v>
      </c>
      <c r="D22" s="28">
        <v>8.9999999999999998E-4</v>
      </c>
      <c r="E22">
        <f t="shared" si="0"/>
        <v>-3519.5055541296219</v>
      </c>
      <c r="F22">
        <f t="shared" si="1"/>
        <v>-3519.5</v>
      </c>
      <c r="G22">
        <f t="shared" si="2"/>
        <v>-2.2981000001891516E-3</v>
      </c>
      <c r="J22">
        <f>+G22</f>
        <v>-2.2981000001891516E-3</v>
      </c>
      <c r="Q22" s="2">
        <f t="shared" si="3"/>
        <v>38158.8796</v>
      </c>
    </row>
    <row r="23" spans="1:17" x14ac:dyDescent="0.2">
      <c r="A23" s="34" t="s">
        <v>47</v>
      </c>
      <c r="B23" s="34"/>
      <c r="C23" s="33">
        <v>54261.440900000001</v>
      </c>
      <c r="D23" s="33">
        <v>3.5000000000000001E-3</v>
      </c>
      <c r="E23">
        <f t="shared" si="0"/>
        <v>-899.50773894889539</v>
      </c>
      <c r="F23">
        <f t="shared" si="1"/>
        <v>-899.5</v>
      </c>
      <c r="G23">
        <f t="shared" si="2"/>
        <v>-3.2021000006352551E-3</v>
      </c>
      <c r="J23">
        <f>+G23</f>
        <v>-3.2021000006352551E-3</v>
      </c>
      <c r="Q23" s="2">
        <f t="shared" si="3"/>
        <v>39242.940900000001</v>
      </c>
    </row>
    <row r="24" spans="1:17" x14ac:dyDescent="0.2">
      <c r="A24" s="28" t="s">
        <v>41</v>
      </c>
      <c r="B24" s="29" t="s">
        <v>42</v>
      </c>
      <c r="C24" s="28">
        <v>54508.664960000002</v>
      </c>
      <c r="D24" s="28">
        <v>5.0000000000000001E-4</v>
      </c>
      <c r="E24">
        <f t="shared" si="0"/>
        <v>-302.00785858225072</v>
      </c>
      <c r="F24">
        <f t="shared" si="1"/>
        <v>-302</v>
      </c>
      <c r="G24">
        <f t="shared" si="2"/>
        <v>-3.251599999202881E-3</v>
      </c>
      <c r="K24">
        <f>+G24</f>
        <v>-3.251599999202881E-3</v>
      </c>
      <c r="Q24" s="2">
        <f t="shared" si="3"/>
        <v>39490.164960000002</v>
      </c>
    </row>
    <row r="25" spans="1:17" x14ac:dyDescent="0.2">
      <c r="A25" t="s">
        <v>15</v>
      </c>
      <c r="C25" s="10">
        <v>54633.625</v>
      </c>
      <c r="D25" s="10" t="s">
        <v>17</v>
      </c>
      <c r="E25">
        <f t="shared" si="0"/>
        <v>0</v>
      </c>
      <c r="F25">
        <f t="shared" si="1"/>
        <v>0</v>
      </c>
      <c r="G25">
        <f t="shared" si="2"/>
        <v>0</v>
      </c>
      <c r="K25">
        <f>+G25</f>
        <v>0</v>
      </c>
      <c r="Q25" s="2">
        <f t="shared" si="3"/>
        <v>39615.125</v>
      </c>
    </row>
    <row r="26" spans="1:17" x14ac:dyDescent="0.2">
      <c r="A26" s="34" t="s">
        <v>47</v>
      </c>
      <c r="B26" s="34"/>
      <c r="C26" s="33">
        <v>54639.415099999998</v>
      </c>
      <c r="D26" s="33">
        <v>1.6000000000000001E-3</v>
      </c>
      <c r="E26">
        <f t="shared" si="0"/>
        <v>13.993719127943757</v>
      </c>
      <c r="F26">
        <f t="shared" si="1"/>
        <v>14</v>
      </c>
      <c r="G26">
        <f t="shared" si="2"/>
        <v>-2.5988000052166171E-3</v>
      </c>
      <c r="J26">
        <f>+G26</f>
        <v>-2.5988000052166171E-3</v>
      </c>
      <c r="Q26" s="2">
        <f t="shared" si="3"/>
        <v>39620.915099999998</v>
      </c>
    </row>
    <row r="27" spans="1:17" x14ac:dyDescent="0.2">
      <c r="A27" s="28" t="s">
        <v>43</v>
      </c>
      <c r="B27" s="29" t="s">
        <v>42</v>
      </c>
      <c r="C27" s="28">
        <v>55643.609729999996</v>
      </c>
      <c r="D27" s="28">
        <v>8.3000000000000001E-4</v>
      </c>
      <c r="E27">
        <f t="shared" si="0"/>
        <v>2440.9669323735511</v>
      </c>
      <c r="F27">
        <f t="shared" si="1"/>
        <v>2441</v>
      </c>
      <c r="G27">
        <f t="shared" si="2"/>
        <v>-1.3682200005860068E-2</v>
      </c>
      <c r="K27">
        <f t="shared" ref="K27:K38" si="4">+G27</f>
        <v>-1.3682200005860068E-2</v>
      </c>
      <c r="Q27" s="2">
        <f t="shared" si="3"/>
        <v>40625.109729999996</v>
      </c>
    </row>
    <row r="28" spans="1:17" x14ac:dyDescent="0.2">
      <c r="A28" s="28" t="s">
        <v>44</v>
      </c>
      <c r="B28" s="29" t="s">
        <v>40</v>
      </c>
      <c r="C28" s="28">
        <v>55696.362099999998</v>
      </c>
      <c r="D28" s="28">
        <v>5.0000000000000001E-4</v>
      </c>
      <c r="E28">
        <f t="shared" si="0"/>
        <v>2568.4607319821253</v>
      </c>
      <c r="F28">
        <f t="shared" si="1"/>
        <v>2568.5</v>
      </c>
      <c r="G28">
        <f t="shared" si="2"/>
        <v>-1.6247700004896615E-2</v>
      </c>
      <c r="K28">
        <f t="shared" si="4"/>
        <v>-1.6247700004896615E-2</v>
      </c>
      <c r="Q28" s="2">
        <f t="shared" si="3"/>
        <v>40677.862099999998</v>
      </c>
    </row>
    <row r="29" spans="1:17" x14ac:dyDescent="0.2">
      <c r="A29" s="28" t="s">
        <v>44</v>
      </c>
      <c r="B29" s="29" t="s">
        <v>42</v>
      </c>
      <c r="C29" s="28">
        <v>55697.395199999999</v>
      </c>
      <c r="D29" s="28">
        <v>4.0000000000000002E-4</v>
      </c>
      <c r="E29">
        <f t="shared" si="0"/>
        <v>2570.9575647192264</v>
      </c>
      <c r="F29">
        <f t="shared" si="1"/>
        <v>2571</v>
      </c>
      <c r="G29">
        <f t="shared" si="2"/>
        <v>-1.7558200001076329E-2</v>
      </c>
      <c r="K29">
        <f t="shared" si="4"/>
        <v>-1.7558200001076329E-2</v>
      </c>
      <c r="Q29" s="2">
        <f t="shared" si="3"/>
        <v>40678.895199999999</v>
      </c>
    </row>
    <row r="30" spans="1:17" x14ac:dyDescent="0.2">
      <c r="A30" s="28" t="s">
        <v>44</v>
      </c>
      <c r="B30" s="29" t="s">
        <v>40</v>
      </c>
      <c r="C30" s="28">
        <v>55698.431100000002</v>
      </c>
      <c r="D30" s="28">
        <v>5.9999999999999995E-4</v>
      </c>
      <c r="E30">
        <f t="shared" si="0"/>
        <v>2573.4611645956838</v>
      </c>
      <c r="F30">
        <f t="shared" si="1"/>
        <v>2573.5</v>
      </c>
      <c r="G30">
        <f t="shared" si="2"/>
        <v>-1.6068699995230418E-2</v>
      </c>
      <c r="K30">
        <f t="shared" si="4"/>
        <v>-1.6068699995230418E-2</v>
      </c>
      <c r="Q30" s="2">
        <f t="shared" si="3"/>
        <v>40679.931100000002</v>
      </c>
    </row>
    <row r="31" spans="1:17" x14ac:dyDescent="0.2">
      <c r="A31" s="28" t="s">
        <v>44</v>
      </c>
      <c r="B31" s="29" t="s">
        <v>42</v>
      </c>
      <c r="C31" s="28">
        <v>55699.466500000002</v>
      </c>
      <c r="D31" s="28">
        <v>6.9999999999999999E-4</v>
      </c>
      <c r="E31">
        <f t="shared" si="0"/>
        <v>2575.9635560543957</v>
      </c>
      <c r="F31">
        <f t="shared" si="1"/>
        <v>2576</v>
      </c>
      <c r="G31">
        <f t="shared" si="2"/>
        <v>-1.5079199998581316E-2</v>
      </c>
      <c r="K31">
        <f t="shared" si="4"/>
        <v>-1.5079199998581316E-2</v>
      </c>
      <c r="Q31" s="2">
        <f t="shared" si="3"/>
        <v>40680.966500000002</v>
      </c>
    </row>
    <row r="32" spans="1:17" x14ac:dyDescent="0.2">
      <c r="A32" s="28" t="s">
        <v>44</v>
      </c>
      <c r="B32" s="29" t="s">
        <v>42</v>
      </c>
      <c r="C32" s="28">
        <v>55702.3606</v>
      </c>
      <c r="D32" s="28">
        <v>4.0000000000000002E-4</v>
      </c>
      <c r="E32">
        <f t="shared" si="0"/>
        <v>2582.9581196246554</v>
      </c>
      <c r="F32">
        <f t="shared" si="1"/>
        <v>2583</v>
      </c>
      <c r="G32">
        <f t="shared" si="2"/>
        <v>-1.7328599999018479E-2</v>
      </c>
      <c r="K32">
        <f t="shared" si="4"/>
        <v>-1.7328599999018479E-2</v>
      </c>
      <c r="Q32" s="2">
        <f t="shared" si="3"/>
        <v>40683.8606</v>
      </c>
    </row>
    <row r="33" spans="1:17" x14ac:dyDescent="0.2">
      <c r="A33" s="30" t="s">
        <v>45</v>
      </c>
      <c r="B33" s="31" t="s">
        <v>42</v>
      </c>
      <c r="C33" s="32">
        <v>56003.581939999996</v>
      </c>
      <c r="D33" s="32">
        <v>2.9999999999999997E-4</v>
      </c>
      <c r="E33">
        <f t="shared" si="0"/>
        <v>3310.9605422605346</v>
      </c>
      <c r="F33">
        <f t="shared" si="1"/>
        <v>3311</v>
      </c>
      <c r="G33">
        <f t="shared" si="2"/>
        <v>-1.632620000600582E-2</v>
      </c>
      <c r="K33">
        <f t="shared" si="4"/>
        <v>-1.632620000600582E-2</v>
      </c>
      <c r="Q33" s="2">
        <f t="shared" si="3"/>
        <v>40985.081939999996</v>
      </c>
    </row>
    <row r="34" spans="1:17" x14ac:dyDescent="0.2">
      <c r="A34" s="32" t="s">
        <v>46</v>
      </c>
      <c r="B34" s="31" t="s">
        <v>40</v>
      </c>
      <c r="C34" s="32">
        <v>56420.449800000002</v>
      </c>
      <c r="D34" s="32">
        <v>2.0000000000000001E-4</v>
      </c>
      <c r="E34">
        <f t="shared" si="0"/>
        <v>4318.4615778745529</v>
      </c>
      <c r="F34">
        <f t="shared" si="1"/>
        <v>4318.5</v>
      </c>
      <c r="G34">
        <f t="shared" si="2"/>
        <v>-1.5897699995548464E-2</v>
      </c>
      <c r="K34">
        <f t="shared" si="4"/>
        <v>-1.5897699995548464E-2</v>
      </c>
      <c r="Q34" s="2">
        <f t="shared" si="3"/>
        <v>41401.949800000002</v>
      </c>
    </row>
    <row r="35" spans="1:17" x14ac:dyDescent="0.2">
      <c r="A35" s="32" t="s">
        <v>46</v>
      </c>
      <c r="B35" s="31" t="s">
        <v>42</v>
      </c>
      <c r="C35" s="32">
        <v>56441.342100000002</v>
      </c>
      <c r="D35" s="32">
        <v>2.0000000000000001E-4</v>
      </c>
      <c r="E35">
        <f t="shared" si="0"/>
        <v>4368.9548298282007</v>
      </c>
      <c r="F35">
        <f t="shared" si="1"/>
        <v>4369</v>
      </c>
      <c r="G35">
        <f t="shared" si="2"/>
        <v>-1.8689799995627254E-2</v>
      </c>
      <c r="K35">
        <f t="shared" si="4"/>
        <v>-1.8689799995627254E-2</v>
      </c>
      <c r="Q35" s="2">
        <f t="shared" si="3"/>
        <v>41422.842100000002</v>
      </c>
    </row>
    <row r="36" spans="1:17" x14ac:dyDescent="0.2">
      <c r="A36" s="32" t="s">
        <v>46</v>
      </c>
      <c r="B36" s="31" t="s">
        <v>40</v>
      </c>
      <c r="C36" s="32">
        <v>56444.447</v>
      </c>
      <c r="D36" s="32">
        <v>2.0000000000000001E-4</v>
      </c>
      <c r="E36">
        <f t="shared" si="0"/>
        <v>4376.4588623181999</v>
      </c>
      <c r="F36">
        <f t="shared" si="1"/>
        <v>4376.5</v>
      </c>
      <c r="G36">
        <f t="shared" si="2"/>
        <v>-1.7021300001943018E-2</v>
      </c>
      <c r="K36">
        <f t="shared" si="4"/>
        <v>-1.7021300001943018E-2</v>
      </c>
      <c r="Q36" s="2">
        <f t="shared" si="3"/>
        <v>41425.947</v>
      </c>
    </row>
    <row r="37" spans="1:17" x14ac:dyDescent="0.2">
      <c r="A37" s="32" t="s">
        <v>46</v>
      </c>
      <c r="B37" s="31" t="s">
        <v>42</v>
      </c>
      <c r="C37" s="32">
        <v>56477.340600000003</v>
      </c>
      <c r="D37" s="32">
        <v>2.0000000000000001E-4</v>
      </c>
      <c r="E37">
        <f t="shared" si="0"/>
        <v>4455.9572819494852</v>
      </c>
      <c r="F37">
        <f t="shared" si="1"/>
        <v>4456</v>
      </c>
      <c r="G37">
        <f t="shared" si="2"/>
        <v>-1.7675199997029267E-2</v>
      </c>
      <c r="K37">
        <f t="shared" si="4"/>
        <v>-1.7675199997029267E-2</v>
      </c>
      <c r="O37">
        <f t="shared" ref="O37:O44" ca="1" si="5">+C$11+C$12*$F37</f>
        <v>2.4872590061490937E-2</v>
      </c>
      <c r="Q37" s="2">
        <f t="shared" si="3"/>
        <v>41458.840600000003</v>
      </c>
    </row>
    <row r="38" spans="1:17" x14ac:dyDescent="0.2">
      <c r="A38" s="32" t="s">
        <v>138</v>
      </c>
      <c r="B38" s="31"/>
      <c r="C38" s="32">
        <v>57154.453500000003</v>
      </c>
      <c r="D38" s="32">
        <v>5.1999999999999998E-3</v>
      </c>
      <c r="E38">
        <f t="shared" si="0"/>
        <v>6092.4277644126851</v>
      </c>
      <c r="F38">
        <f t="shared" si="1"/>
        <v>6092.5</v>
      </c>
      <c r="G38">
        <f t="shared" si="2"/>
        <v>-2.9888499993830919E-2</v>
      </c>
      <c r="K38">
        <f t="shared" si="4"/>
        <v>-2.9888499993830919E-2</v>
      </c>
      <c r="O38">
        <f t="shared" ca="1" si="5"/>
        <v>4.1816053176352425E-3</v>
      </c>
      <c r="Q38" s="2">
        <f t="shared" si="3"/>
        <v>42135.953500000003</v>
      </c>
    </row>
    <row r="39" spans="1:17" x14ac:dyDescent="0.2">
      <c r="A39" s="48" t="s">
        <v>2</v>
      </c>
      <c r="B39" s="49" t="s">
        <v>40</v>
      </c>
      <c r="C39" s="50">
        <v>57132.538399999998</v>
      </c>
      <c r="D39" s="50">
        <v>8.8999999999999999E-3</v>
      </c>
      <c r="E39">
        <f t="shared" ref="E39:E44" si="6">+(C39-C$7)/C$8</f>
        <v>6039.4625731273936</v>
      </c>
      <c r="F39">
        <f t="shared" ref="F39:F44" si="7">ROUND(2*E39,0)/2</f>
        <v>6039.5</v>
      </c>
      <c r="G39">
        <f t="shared" ref="G39:G44" si="8">+C39-(C$7+F39*C$8)</f>
        <v>-1.5485900003113784E-2</v>
      </c>
      <c r="K39">
        <f>+G39</f>
        <v>-1.5485900003113784E-2</v>
      </c>
      <c r="O39">
        <f t="shared" ca="1" si="5"/>
        <v>4.8517074816586819E-3</v>
      </c>
      <c r="Q39" s="2">
        <f t="shared" ref="Q39:Q44" si="9">+C39-15018.5</f>
        <v>42114.038399999998</v>
      </c>
    </row>
    <row r="40" spans="1:17" x14ac:dyDescent="0.2">
      <c r="A40" s="51" t="s">
        <v>0</v>
      </c>
      <c r="B40" s="54" t="s">
        <v>40</v>
      </c>
      <c r="C40" s="55">
        <v>57867.378700000001</v>
      </c>
      <c r="D40" s="55">
        <v>2.0999999999999999E-3</v>
      </c>
      <c r="E40">
        <f t="shared" si="6"/>
        <v>7815.4506842302953</v>
      </c>
      <c r="F40">
        <f t="shared" si="7"/>
        <v>7815.5</v>
      </c>
      <c r="G40">
        <f t="shared" si="8"/>
        <v>-2.0405099996423814E-2</v>
      </c>
      <c r="K40">
        <f>+G40</f>
        <v>-2.0405099996423814E-2</v>
      </c>
      <c r="O40">
        <f t="shared" ca="1" si="5"/>
        <v>-1.760303673165492E-2</v>
      </c>
      <c r="Q40" s="2">
        <f t="shared" si="9"/>
        <v>42848.878700000001</v>
      </c>
    </row>
    <row r="41" spans="1:17" x14ac:dyDescent="0.2">
      <c r="A41" s="51" t="s">
        <v>0</v>
      </c>
      <c r="B41" s="54" t="s">
        <v>40</v>
      </c>
      <c r="C41" s="55">
        <v>57867.583500000001</v>
      </c>
      <c r="D41" s="55">
        <v>2.0999999999999999E-3</v>
      </c>
      <c r="E41">
        <f t="shared" si="6"/>
        <v>7815.9456521371358</v>
      </c>
      <c r="F41">
        <f t="shared" si="7"/>
        <v>7816</v>
      </c>
      <c r="G41">
        <f t="shared" si="8"/>
        <v>-2.2487199996248819E-2</v>
      </c>
      <c r="K41">
        <f>+G41</f>
        <v>-2.2487199996248819E-2</v>
      </c>
      <c r="O41">
        <f t="shared" ca="1" si="5"/>
        <v>-1.7609358450183452E-2</v>
      </c>
      <c r="Q41" s="2">
        <f t="shared" si="9"/>
        <v>42849.083500000001</v>
      </c>
    </row>
    <row r="42" spans="1:17" x14ac:dyDescent="0.2">
      <c r="A42" s="51" t="s">
        <v>1</v>
      </c>
      <c r="B42" s="52" t="s">
        <v>40</v>
      </c>
      <c r="C42" s="53">
        <v>57876.497000000003</v>
      </c>
      <c r="D42" s="53">
        <v>1.4999999999999999E-2</v>
      </c>
      <c r="E42">
        <f t="shared" si="6"/>
        <v>7837.4881152115213</v>
      </c>
      <c r="F42">
        <f t="shared" si="7"/>
        <v>7837.5</v>
      </c>
      <c r="G42">
        <f t="shared" si="8"/>
        <v>-4.917499994917307E-3</v>
      </c>
      <c r="I42">
        <f>+G42</f>
        <v>-4.917499994917307E-3</v>
      </c>
      <c r="O42">
        <f t="shared" ca="1" si="5"/>
        <v>-1.7881192346909935E-2</v>
      </c>
      <c r="Q42" s="2">
        <f t="shared" si="9"/>
        <v>42857.997000000003</v>
      </c>
    </row>
    <row r="43" spans="1:17" x14ac:dyDescent="0.2">
      <c r="A43" s="58" t="s">
        <v>140</v>
      </c>
      <c r="B43" s="59" t="s">
        <v>42</v>
      </c>
      <c r="C43" s="60">
        <v>57892.407930000219</v>
      </c>
      <c r="D43" s="60">
        <v>8.9999999999999998E-4</v>
      </c>
      <c r="E43">
        <f t="shared" si="6"/>
        <v>7875.9422153976084</v>
      </c>
      <c r="F43">
        <f t="shared" si="7"/>
        <v>7876</v>
      </c>
      <c r="G43">
        <f t="shared" si="8"/>
        <v>-2.3909199779154733E-2</v>
      </c>
      <c r="K43">
        <f>+G43</f>
        <v>-2.3909199779154733E-2</v>
      </c>
      <c r="O43">
        <f t="shared" ca="1" si="5"/>
        <v>-1.8367964673606199E-2</v>
      </c>
      <c r="Q43" s="2">
        <f t="shared" si="9"/>
        <v>42873.907930000219</v>
      </c>
    </row>
    <row r="44" spans="1:17" x14ac:dyDescent="0.2">
      <c r="A44" s="56" t="s">
        <v>139</v>
      </c>
      <c r="B44" s="57"/>
      <c r="C44" s="32">
        <v>58979.753400000001</v>
      </c>
      <c r="D44" s="32">
        <v>4.0000000000000002E-4</v>
      </c>
      <c r="E44">
        <f t="shared" si="6"/>
        <v>10503.877329164778</v>
      </c>
      <c r="F44">
        <f t="shared" si="7"/>
        <v>10504</v>
      </c>
      <c r="G44">
        <f t="shared" si="8"/>
        <v>-5.0756799995724577E-2</v>
      </c>
      <c r="K44">
        <f>+G44</f>
        <v>-5.0756799995724577E-2</v>
      </c>
      <c r="O44">
        <f t="shared" ca="1" si="5"/>
        <v>-5.1594917259522949E-2</v>
      </c>
      <c r="Q44" s="2">
        <f t="shared" si="9"/>
        <v>43961.253400000001</v>
      </c>
    </row>
    <row r="45" spans="1:17" x14ac:dyDescent="0.2">
      <c r="A45" s="61" t="s">
        <v>141</v>
      </c>
      <c r="B45" s="62" t="s">
        <v>40</v>
      </c>
      <c r="C45" s="63">
        <v>59338.059100000188</v>
      </c>
      <c r="D45" s="64" t="s">
        <v>144</v>
      </c>
      <c r="E45">
        <f t="shared" ref="E45:E53" si="10">+(C45-C$7)/C$8</f>
        <v>11369.843258552062</v>
      </c>
      <c r="F45">
        <f t="shared" ref="F45:F53" si="11">ROUND(2*E45,0)/2</f>
        <v>11370</v>
      </c>
      <c r="G45">
        <f t="shared" ref="G45:G53" si="12">+C45-(C$7+F45*C$8)</f>
        <v>-6.4853999814658891E-2</v>
      </c>
      <c r="K45">
        <f t="shared" ref="K45:K53" si="13">+G45</f>
        <v>-6.4853999814658891E-2</v>
      </c>
      <c r="O45">
        <f t="shared" ref="O45:O53" ca="1" si="14">+C$11+C$12*$F45</f>
        <v>-6.2544133750924741E-2</v>
      </c>
      <c r="Q45" s="2">
        <f t="shared" ref="Q45:Q53" si="15">+C45-15018.5</f>
        <v>44319.559100000188</v>
      </c>
    </row>
    <row r="46" spans="1:17" x14ac:dyDescent="0.2">
      <c r="A46" s="61" t="s">
        <v>141</v>
      </c>
      <c r="B46" s="62" t="s">
        <v>40</v>
      </c>
      <c r="C46" s="63">
        <v>59338.060800000094</v>
      </c>
      <c r="D46" s="64" t="s">
        <v>57</v>
      </c>
      <c r="E46">
        <f t="shared" si="10"/>
        <v>11369.847367172157</v>
      </c>
      <c r="F46">
        <f t="shared" si="11"/>
        <v>11370</v>
      </c>
      <c r="G46">
        <f t="shared" si="12"/>
        <v>-6.3153999908536207E-2</v>
      </c>
      <c r="K46">
        <f t="shared" si="13"/>
        <v>-6.3153999908536207E-2</v>
      </c>
      <c r="O46">
        <f t="shared" ca="1" si="14"/>
        <v>-6.2544133750924741E-2</v>
      </c>
      <c r="Q46" s="2">
        <f t="shared" si="15"/>
        <v>44319.560800000094</v>
      </c>
    </row>
    <row r="47" spans="1:17" x14ac:dyDescent="0.2">
      <c r="A47" s="61" t="s">
        <v>141</v>
      </c>
      <c r="B47" s="62" t="s">
        <v>40</v>
      </c>
      <c r="C47" s="63">
        <v>59338.061999999918</v>
      </c>
      <c r="D47" s="64" t="s">
        <v>145</v>
      </c>
      <c r="E47">
        <f t="shared" si="10"/>
        <v>11369.850267374311</v>
      </c>
      <c r="F47">
        <f t="shared" si="11"/>
        <v>11370</v>
      </c>
      <c r="G47">
        <f t="shared" si="12"/>
        <v>-6.1954000084369909E-2</v>
      </c>
      <c r="K47">
        <f t="shared" si="13"/>
        <v>-6.1954000084369909E-2</v>
      </c>
      <c r="O47">
        <f t="shared" ca="1" si="14"/>
        <v>-6.2544133750924741E-2</v>
      </c>
      <c r="Q47" s="2">
        <f t="shared" si="15"/>
        <v>44319.561999999918</v>
      </c>
    </row>
    <row r="48" spans="1:17" x14ac:dyDescent="0.2">
      <c r="A48" s="61" t="s">
        <v>141</v>
      </c>
      <c r="B48" s="62" t="s">
        <v>40</v>
      </c>
      <c r="C48" s="63">
        <v>59338.061999999918</v>
      </c>
      <c r="D48" s="64" t="s">
        <v>146</v>
      </c>
      <c r="E48">
        <f t="shared" si="10"/>
        <v>11369.850267374311</v>
      </c>
      <c r="F48">
        <f t="shared" si="11"/>
        <v>11370</v>
      </c>
      <c r="G48">
        <f t="shared" si="12"/>
        <v>-6.1954000084369909E-2</v>
      </c>
      <c r="K48">
        <f t="shared" si="13"/>
        <v>-6.1954000084369909E-2</v>
      </c>
      <c r="O48">
        <f t="shared" ca="1" si="14"/>
        <v>-6.2544133750924741E-2</v>
      </c>
      <c r="Q48" s="2">
        <f t="shared" si="15"/>
        <v>44319.561999999918</v>
      </c>
    </row>
    <row r="49" spans="1:17" x14ac:dyDescent="0.2">
      <c r="A49" s="61" t="s">
        <v>141</v>
      </c>
      <c r="B49" s="62" t="s">
        <v>40</v>
      </c>
      <c r="C49" s="63">
        <v>59344.060899999924</v>
      </c>
      <c r="D49" s="64" t="s">
        <v>146</v>
      </c>
      <c r="E49">
        <f t="shared" si="10"/>
        <v>11384.348621751045</v>
      </c>
      <c r="F49">
        <f t="shared" si="11"/>
        <v>11384.5</v>
      </c>
      <c r="G49">
        <f t="shared" si="12"/>
        <v>-6.2634900074044708E-2</v>
      </c>
      <c r="K49">
        <f t="shared" si="13"/>
        <v>-6.2634900074044708E-2</v>
      </c>
      <c r="O49">
        <f t="shared" ca="1" si="14"/>
        <v>-6.2727463588251903E-2</v>
      </c>
      <c r="Q49" s="2">
        <f t="shared" si="15"/>
        <v>44325.560899999924</v>
      </c>
    </row>
    <row r="50" spans="1:17" x14ac:dyDescent="0.2">
      <c r="A50" s="61" t="s">
        <v>141</v>
      </c>
      <c r="B50" s="62" t="s">
        <v>40</v>
      </c>
      <c r="C50" s="63">
        <v>59344.061400000006</v>
      </c>
      <c r="D50" s="64" t="s">
        <v>57</v>
      </c>
      <c r="E50">
        <f t="shared" si="10"/>
        <v>11384.349830168985</v>
      </c>
      <c r="F50">
        <f t="shared" si="11"/>
        <v>11384.5</v>
      </c>
      <c r="G50">
        <f t="shared" si="12"/>
        <v>-6.2134899992088322E-2</v>
      </c>
      <c r="K50">
        <f t="shared" si="13"/>
        <v>-6.2134899992088322E-2</v>
      </c>
      <c r="O50">
        <f t="shared" ca="1" si="14"/>
        <v>-6.2727463588251903E-2</v>
      </c>
      <c r="Q50" s="2">
        <f t="shared" si="15"/>
        <v>44325.561400000006</v>
      </c>
    </row>
    <row r="51" spans="1:17" x14ac:dyDescent="0.2">
      <c r="A51" s="61" t="s">
        <v>141</v>
      </c>
      <c r="B51" s="62" t="s">
        <v>40</v>
      </c>
      <c r="C51" s="63">
        <v>59344.06240000017</v>
      </c>
      <c r="D51" s="64" t="s">
        <v>145</v>
      </c>
      <c r="E51">
        <f t="shared" si="10"/>
        <v>11384.352247004863</v>
      </c>
      <c r="F51">
        <f t="shared" si="11"/>
        <v>11384.5</v>
      </c>
      <c r="G51">
        <f t="shared" si="12"/>
        <v>-6.1134899828175548E-2</v>
      </c>
      <c r="K51">
        <f t="shared" si="13"/>
        <v>-6.1134899828175548E-2</v>
      </c>
      <c r="O51">
        <f t="shared" ca="1" si="14"/>
        <v>-6.2727463588251903E-2</v>
      </c>
      <c r="Q51" s="2">
        <f t="shared" si="15"/>
        <v>44325.56240000017</v>
      </c>
    </row>
    <row r="52" spans="1:17" x14ac:dyDescent="0.2">
      <c r="A52" s="61" t="s">
        <v>142</v>
      </c>
      <c r="B52" s="62" t="s">
        <v>42</v>
      </c>
      <c r="C52" s="63">
        <v>59391.43600000022</v>
      </c>
      <c r="D52" s="64">
        <v>1.4999999999999999E-2</v>
      </c>
      <c r="E52">
        <f t="shared" si="10"/>
        <v>11498.846444424673</v>
      </c>
      <c r="F52">
        <f t="shared" si="11"/>
        <v>11499</v>
      </c>
      <c r="G52">
        <f t="shared" si="12"/>
        <v>-6.3535799781675451E-2</v>
      </c>
      <c r="K52">
        <f t="shared" si="13"/>
        <v>-6.3535799781675451E-2</v>
      </c>
      <c r="O52">
        <f t="shared" ca="1" si="14"/>
        <v>-6.4175137131283672E-2</v>
      </c>
      <c r="Q52" s="2">
        <f t="shared" si="15"/>
        <v>44372.93600000022</v>
      </c>
    </row>
    <row r="53" spans="1:17" x14ac:dyDescent="0.2">
      <c r="A53" s="61" t="s">
        <v>143</v>
      </c>
      <c r="B53" s="62" t="s">
        <v>42</v>
      </c>
      <c r="C53" s="63">
        <v>59397.432999999997</v>
      </c>
      <c r="D53" s="64">
        <v>1.4999999999999999E-2</v>
      </c>
      <c r="E53">
        <f t="shared" si="10"/>
        <v>11513.340206813438</v>
      </c>
      <c r="F53">
        <f t="shared" si="11"/>
        <v>11513.5</v>
      </c>
      <c r="G53">
        <f t="shared" si="12"/>
        <v>-6.6116699999838602E-2</v>
      </c>
      <c r="K53">
        <f t="shared" si="13"/>
        <v>-6.6116699999838602E-2</v>
      </c>
      <c r="O53">
        <f t="shared" ca="1" si="14"/>
        <v>-6.4358466968610833E-2</v>
      </c>
      <c r="Q53" s="2">
        <f t="shared" si="15"/>
        <v>44378.932999999997</v>
      </c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4:D44" name="Range1"/>
  </protectedRanges>
  <phoneticPr fontId="8" type="noConversion"/>
  <hyperlinks>
    <hyperlink ref="H3012" r:id="rId1" display="http://vsolj.cetus-net.org/bulletin.html" xr:uid="{00000000-0004-0000-0000-000000000000}"/>
    <hyperlink ref="H64753" r:id="rId2" display="http://vsolj.cetus-net.org/bulletin.html" xr:uid="{00000000-0004-0000-0000-000001000000}"/>
    <hyperlink ref="H64746" r:id="rId3" display="https://www.aavso.org/ejaavso" xr:uid="{00000000-0004-0000-0000-000002000000}"/>
    <hyperlink ref="AP1604" r:id="rId4" display="http://cdsbib.u-strasbg.fr/cgi-bin/cdsbib?1990RMxAA..21..381G" xr:uid="{00000000-0004-0000-0000-000003000000}"/>
    <hyperlink ref="AP1601" r:id="rId5" display="http://cdsbib.u-strasbg.fr/cgi-bin/cdsbib?1990RMxAA..21..381G" xr:uid="{00000000-0004-0000-0000-000004000000}"/>
    <hyperlink ref="AP1603" r:id="rId6" display="http://cdsbib.u-strasbg.fr/cgi-bin/cdsbib?1990RMxAA..21..381G" xr:uid="{00000000-0004-0000-0000-000005000000}"/>
    <hyperlink ref="AP1579" r:id="rId7" display="http://cdsbib.u-strasbg.fr/cgi-bin/cdsbib?1990RMxAA..21..381G" xr:uid="{00000000-0004-0000-0000-000006000000}"/>
    <hyperlink ref="I64753" r:id="rId8" display="http://vsolj.cetus-net.org/bulletin.html" xr:uid="{00000000-0004-0000-0000-000007000000}"/>
    <hyperlink ref="AQ1740" r:id="rId9" display="http://cdsbib.u-strasbg.fr/cgi-bin/cdsbib?1990RMxAA..21..381G" xr:uid="{00000000-0004-0000-0000-000008000000}"/>
    <hyperlink ref="AQ3384" r:id="rId10" display="http://cdsbib.u-strasbg.fr/cgi-bin/cdsbib?1990RMxAA..21..381G" xr:uid="{00000000-0004-0000-0000-000009000000}"/>
    <hyperlink ref="AQ1741" r:id="rId11" display="http://cdsbib.u-strasbg.fr/cgi-bin/cdsbib?1990RMxAA..21..381G" xr:uid="{00000000-0004-0000-0000-00000A000000}"/>
    <hyperlink ref="H64750" r:id="rId12" display="https://www.aavso.org/ejaavso" xr:uid="{00000000-0004-0000-0000-00000B000000}"/>
    <hyperlink ref="H2591" r:id="rId13" display="http://vsolj.cetus-net.org/bulletin.html" xr:uid="{00000000-0004-0000-0000-00000C000000}"/>
    <hyperlink ref="AP5829" r:id="rId14" display="http://cdsbib.u-strasbg.fr/cgi-bin/cdsbib?1990RMxAA..21..381G" xr:uid="{00000000-0004-0000-0000-00000D000000}"/>
    <hyperlink ref="AP5832" r:id="rId15" display="http://cdsbib.u-strasbg.fr/cgi-bin/cdsbib?1990RMxAA..21..381G" xr:uid="{00000000-0004-0000-0000-00000E000000}"/>
    <hyperlink ref="AP5830" r:id="rId16" display="http://cdsbib.u-strasbg.fr/cgi-bin/cdsbib?1990RMxAA..21..381G" xr:uid="{00000000-0004-0000-0000-00000F000000}"/>
    <hyperlink ref="AP5808" r:id="rId17" display="http://cdsbib.u-strasbg.fr/cgi-bin/cdsbib?1990RMxAA..21..381G" xr:uid="{00000000-0004-0000-0000-000010000000}"/>
    <hyperlink ref="I2591" r:id="rId18" display="http://vsolj.cetus-net.org/bulletin.html" xr:uid="{00000000-0004-0000-0000-000011000000}"/>
    <hyperlink ref="AQ5942" r:id="rId19" display="http://cdsbib.u-strasbg.fr/cgi-bin/cdsbib?1990RMxAA..21..381G" xr:uid="{00000000-0004-0000-0000-000012000000}"/>
    <hyperlink ref="AQ494" r:id="rId20" display="http://cdsbib.u-strasbg.fr/cgi-bin/cdsbib?1990RMxAA..21..381G" xr:uid="{00000000-0004-0000-0000-000013000000}"/>
    <hyperlink ref="AQ594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4"/>
  <sheetViews>
    <sheetView topLeftCell="A4" workbookViewId="0">
      <selection activeCell="A27" sqref="A27:D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48</v>
      </c>
      <c r="I1" s="36" t="s">
        <v>49</v>
      </c>
      <c r="J1" s="37" t="s">
        <v>50</v>
      </c>
    </row>
    <row r="2" spans="1:16" x14ac:dyDescent="0.2">
      <c r="I2" s="38" t="s">
        <v>51</v>
      </c>
      <c r="J2" s="39" t="s">
        <v>52</v>
      </c>
    </row>
    <row r="3" spans="1:16" x14ac:dyDescent="0.2">
      <c r="A3" s="40" t="s">
        <v>53</v>
      </c>
      <c r="I3" s="38" t="s">
        <v>54</v>
      </c>
      <c r="J3" s="39" t="s">
        <v>55</v>
      </c>
    </row>
    <row r="4" spans="1:16" x14ac:dyDescent="0.2">
      <c r="I4" s="38" t="s">
        <v>56</v>
      </c>
      <c r="J4" s="39" t="s">
        <v>55</v>
      </c>
    </row>
    <row r="5" spans="1:16" ht="13.5" thickBot="1" x14ac:dyDescent="0.25">
      <c r="I5" s="41" t="s">
        <v>57</v>
      </c>
      <c r="J5" s="42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IBVS 5754 </v>
      </c>
      <c r="B11" s="3" t="str">
        <f t="shared" ref="B11:B27" si="1">IF(H11=INT(H11),"I","II")</f>
        <v>I</v>
      </c>
      <c r="C11" s="10">
        <f t="shared" ref="C11:C27" si="2">1*G11</f>
        <v>53149.450599999996</v>
      </c>
      <c r="D11" s="12" t="str">
        <f t="shared" ref="D11:D27" si="3">VLOOKUP(F11,I$1:J$5,2,FALSE)</f>
        <v>vis</v>
      </c>
      <c r="E11" s="43">
        <f>VLOOKUP(C11,Active!C$21:E$973,3,FALSE)</f>
        <v>-3587.005352323868</v>
      </c>
      <c r="F11" s="3" t="s">
        <v>57</v>
      </c>
      <c r="G11" s="12" t="str">
        <f t="shared" ref="G11:G27" si="4">MID(I11,3,LEN(I11)-3)</f>
        <v>53149.4506</v>
      </c>
      <c r="H11" s="10">
        <f t="shared" ref="H11:H27" si="5">1*K11</f>
        <v>-3587</v>
      </c>
      <c r="I11" s="44" t="s">
        <v>59</v>
      </c>
      <c r="J11" s="45" t="s">
        <v>60</v>
      </c>
      <c r="K11" s="44">
        <v>-3587</v>
      </c>
      <c r="L11" s="44" t="s">
        <v>61</v>
      </c>
      <c r="M11" s="45" t="s">
        <v>62</v>
      </c>
      <c r="N11" s="45" t="s">
        <v>63</v>
      </c>
      <c r="O11" s="46" t="s">
        <v>64</v>
      </c>
      <c r="P11" s="47" t="s">
        <v>65</v>
      </c>
    </row>
    <row r="12" spans="1:16" ht="12.75" customHeight="1" thickBot="1" x14ac:dyDescent="0.25">
      <c r="A12" s="10" t="str">
        <f t="shared" si="0"/>
        <v>IBVS 5754 </v>
      </c>
      <c r="B12" s="3" t="str">
        <f t="shared" si="1"/>
        <v>II</v>
      </c>
      <c r="C12" s="10">
        <f t="shared" si="2"/>
        <v>53177.3796</v>
      </c>
      <c r="D12" s="12" t="str">
        <f t="shared" si="3"/>
        <v>vis</v>
      </c>
      <c r="E12" s="43">
        <f>VLOOKUP(C12,Active!C$21:E$973,3,FALSE)</f>
        <v>-3519.5055541296219</v>
      </c>
      <c r="F12" s="3" t="s">
        <v>57</v>
      </c>
      <c r="G12" s="12" t="str">
        <f t="shared" si="4"/>
        <v>53177.3796</v>
      </c>
      <c r="H12" s="10">
        <f t="shared" si="5"/>
        <v>-3519.5</v>
      </c>
      <c r="I12" s="44" t="s">
        <v>66</v>
      </c>
      <c r="J12" s="45" t="s">
        <v>67</v>
      </c>
      <c r="K12" s="44">
        <v>-3519.5</v>
      </c>
      <c r="L12" s="44" t="s">
        <v>68</v>
      </c>
      <c r="M12" s="45" t="s">
        <v>62</v>
      </c>
      <c r="N12" s="45" t="s">
        <v>63</v>
      </c>
      <c r="O12" s="46" t="s">
        <v>69</v>
      </c>
      <c r="P12" s="47" t="s">
        <v>65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II</v>
      </c>
      <c r="C13" s="10">
        <f t="shared" si="2"/>
        <v>54261.440900000001</v>
      </c>
      <c r="D13" s="12" t="str">
        <f t="shared" si="3"/>
        <v>vis</v>
      </c>
      <c r="E13" s="43">
        <f>VLOOKUP(C13,Active!C$21:E$973,3,FALSE)</f>
        <v>-899.50773894889539</v>
      </c>
      <c r="F13" s="3" t="s">
        <v>57</v>
      </c>
      <c r="G13" s="12" t="str">
        <f t="shared" si="4"/>
        <v>54261.4409</v>
      </c>
      <c r="H13" s="10">
        <f t="shared" si="5"/>
        <v>-899.5</v>
      </c>
      <c r="I13" s="44" t="s">
        <v>70</v>
      </c>
      <c r="J13" s="45" t="s">
        <v>71</v>
      </c>
      <c r="K13" s="44">
        <v>-899.5</v>
      </c>
      <c r="L13" s="44" t="s">
        <v>72</v>
      </c>
      <c r="M13" s="45" t="s">
        <v>62</v>
      </c>
      <c r="N13" s="45" t="s">
        <v>73</v>
      </c>
      <c r="O13" s="46" t="s">
        <v>74</v>
      </c>
      <c r="P13" s="47" t="s">
        <v>75</v>
      </c>
    </row>
    <row r="14" spans="1:16" ht="12.75" customHeight="1" thickBot="1" x14ac:dyDescent="0.25">
      <c r="A14" s="10" t="str">
        <f t="shared" si="0"/>
        <v>OEJV 0094 </v>
      </c>
      <c r="B14" s="3" t="str">
        <f t="shared" si="1"/>
        <v>I</v>
      </c>
      <c r="C14" s="10">
        <f t="shared" si="2"/>
        <v>54508.664960000002</v>
      </c>
      <c r="D14" s="12" t="str">
        <f t="shared" si="3"/>
        <v>vis</v>
      </c>
      <c r="E14" s="43">
        <f>VLOOKUP(C14,Active!C$21:E$973,3,FALSE)</f>
        <v>-302.00785858225072</v>
      </c>
      <c r="F14" s="3" t="s">
        <v>57</v>
      </c>
      <c r="G14" s="12" t="str">
        <f t="shared" si="4"/>
        <v>54508.66496</v>
      </c>
      <c r="H14" s="10">
        <f t="shared" si="5"/>
        <v>-302</v>
      </c>
      <c r="I14" s="44" t="s">
        <v>76</v>
      </c>
      <c r="J14" s="45" t="s">
        <v>77</v>
      </c>
      <c r="K14" s="44">
        <v>-302</v>
      </c>
      <c r="L14" s="44" t="s">
        <v>78</v>
      </c>
      <c r="M14" s="45" t="s">
        <v>62</v>
      </c>
      <c r="N14" s="45" t="s">
        <v>79</v>
      </c>
      <c r="O14" s="46" t="s">
        <v>80</v>
      </c>
      <c r="P14" s="47" t="s">
        <v>81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54639.415099999998</v>
      </c>
      <c r="D15" s="12" t="str">
        <f t="shared" si="3"/>
        <v>vis</v>
      </c>
      <c r="E15" s="43">
        <f>VLOOKUP(C15,Active!C$21:E$973,3,FALSE)</f>
        <v>13.993719127943757</v>
      </c>
      <c r="F15" s="3" t="s">
        <v>57</v>
      </c>
      <c r="G15" s="12" t="str">
        <f t="shared" si="4"/>
        <v>54639.4151</v>
      </c>
      <c r="H15" s="10">
        <f t="shared" si="5"/>
        <v>14</v>
      </c>
      <c r="I15" s="44" t="s">
        <v>82</v>
      </c>
      <c r="J15" s="45" t="s">
        <v>83</v>
      </c>
      <c r="K15" s="44">
        <v>14</v>
      </c>
      <c r="L15" s="44" t="s">
        <v>84</v>
      </c>
      <c r="M15" s="45" t="s">
        <v>62</v>
      </c>
      <c r="N15" s="45" t="s">
        <v>73</v>
      </c>
      <c r="O15" s="46" t="s">
        <v>74</v>
      </c>
      <c r="P15" s="47" t="s">
        <v>75</v>
      </c>
    </row>
    <row r="16" spans="1:16" ht="12.75" customHeight="1" thickBot="1" x14ac:dyDescent="0.25">
      <c r="A16" s="10" t="str">
        <f t="shared" si="0"/>
        <v>IBVS 6007 </v>
      </c>
      <c r="B16" s="3" t="str">
        <f t="shared" si="1"/>
        <v>I</v>
      </c>
      <c r="C16" s="10">
        <f t="shared" si="2"/>
        <v>55643.609729999996</v>
      </c>
      <c r="D16" s="12" t="str">
        <f t="shared" si="3"/>
        <v>vis</v>
      </c>
      <c r="E16" s="43">
        <f>VLOOKUP(C16,Active!C$21:E$973,3,FALSE)</f>
        <v>2440.9669323735511</v>
      </c>
      <c r="F16" s="3" t="s">
        <v>57</v>
      </c>
      <c r="G16" s="12" t="str">
        <f t="shared" si="4"/>
        <v>55643.60973</v>
      </c>
      <c r="H16" s="10">
        <f t="shared" si="5"/>
        <v>2441</v>
      </c>
      <c r="I16" s="44" t="s">
        <v>85</v>
      </c>
      <c r="J16" s="45" t="s">
        <v>86</v>
      </c>
      <c r="K16" s="44">
        <v>2441</v>
      </c>
      <c r="L16" s="44" t="s">
        <v>87</v>
      </c>
      <c r="M16" s="45" t="s">
        <v>62</v>
      </c>
      <c r="N16" s="45" t="s">
        <v>79</v>
      </c>
      <c r="O16" s="46" t="s">
        <v>88</v>
      </c>
      <c r="P16" s="47" t="s">
        <v>89</v>
      </c>
    </row>
    <row r="17" spans="1:16" ht="12.75" customHeight="1" thickBot="1" x14ac:dyDescent="0.25">
      <c r="A17" s="10" t="str">
        <f t="shared" si="0"/>
        <v>IBVS 6005 </v>
      </c>
      <c r="B17" s="3" t="str">
        <f t="shared" si="1"/>
        <v>II</v>
      </c>
      <c r="C17" s="10">
        <f t="shared" si="2"/>
        <v>55696.362099999998</v>
      </c>
      <c r="D17" s="12" t="str">
        <f t="shared" si="3"/>
        <v>vis</v>
      </c>
      <c r="E17" s="43">
        <f>VLOOKUP(C17,Active!C$21:E$973,3,FALSE)</f>
        <v>2568.4607319821253</v>
      </c>
      <c r="F17" s="3" t="s">
        <v>57</v>
      </c>
      <c r="G17" s="12" t="str">
        <f t="shared" si="4"/>
        <v>55696.3621</v>
      </c>
      <c r="H17" s="10">
        <f t="shared" si="5"/>
        <v>2568.5</v>
      </c>
      <c r="I17" s="44" t="s">
        <v>90</v>
      </c>
      <c r="J17" s="45" t="s">
        <v>91</v>
      </c>
      <c r="K17" s="44">
        <v>2568.5</v>
      </c>
      <c r="L17" s="44" t="s">
        <v>92</v>
      </c>
      <c r="M17" s="45" t="s">
        <v>62</v>
      </c>
      <c r="N17" s="45" t="s">
        <v>63</v>
      </c>
      <c r="O17" s="46" t="s">
        <v>93</v>
      </c>
      <c r="P17" s="47" t="s">
        <v>94</v>
      </c>
    </row>
    <row r="18" spans="1:16" ht="12.75" customHeight="1" thickBot="1" x14ac:dyDescent="0.25">
      <c r="A18" s="10" t="str">
        <f t="shared" si="0"/>
        <v>IBVS 6005 </v>
      </c>
      <c r="B18" s="3" t="str">
        <f t="shared" si="1"/>
        <v>I</v>
      </c>
      <c r="C18" s="10">
        <f t="shared" si="2"/>
        <v>55697.395199999999</v>
      </c>
      <c r="D18" s="12" t="str">
        <f t="shared" si="3"/>
        <v>vis</v>
      </c>
      <c r="E18" s="43">
        <f>VLOOKUP(C18,Active!C$21:E$973,3,FALSE)</f>
        <v>2570.9575647192264</v>
      </c>
      <c r="F18" s="3" t="s">
        <v>57</v>
      </c>
      <c r="G18" s="12" t="str">
        <f t="shared" si="4"/>
        <v>55697.3952</v>
      </c>
      <c r="H18" s="10">
        <f t="shared" si="5"/>
        <v>2571</v>
      </c>
      <c r="I18" s="44" t="s">
        <v>95</v>
      </c>
      <c r="J18" s="45" t="s">
        <v>96</v>
      </c>
      <c r="K18" s="44">
        <v>2571</v>
      </c>
      <c r="L18" s="44" t="s">
        <v>97</v>
      </c>
      <c r="M18" s="45" t="s">
        <v>62</v>
      </c>
      <c r="N18" s="45" t="s">
        <v>63</v>
      </c>
      <c r="O18" s="46" t="s">
        <v>93</v>
      </c>
      <c r="P18" s="47" t="s">
        <v>94</v>
      </c>
    </row>
    <row r="19" spans="1:16" ht="12.75" customHeight="1" thickBot="1" x14ac:dyDescent="0.25">
      <c r="A19" s="10" t="str">
        <f t="shared" si="0"/>
        <v>IBVS 6005 </v>
      </c>
      <c r="B19" s="3" t="str">
        <f t="shared" si="1"/>
        <v>II</v>
      </c>
      <c r="C19" s="10">
        <f t="shared" si="2"/>
        <v>55698.431100000002</v>
      </c>
      <c r="D19" s="12" t="str">
        <f t="shared" si="3"/>
        <v>vis</v>
      </c>
      <c r="E19" s="43">
        <f>VLOOKUP(C19,Active!C$21:E$973,3,FALSE)</f>
        <v>2573.4611645956838</v>
      </c>
      <c r="F19" s="3" t="s">
        <v>57</v>
      </c>
      <c r="G19" s="12" t="str">
        <f t="shared" si="4"/>
        <v>55698.4311</v>
      </c>
      <c r="H19" s="10">
        <f t="shared" si="5"/>
        <v>2573.5</v>
      </c>
      <c r="I19" s="44" t="s">
        <v>98</v>
      </c>
      <c r="J19" s="45" t="s">
        <v>99</v>
      </c>
      <c r="K19" s="44">
        <v>2573.5</v>
      </c>
      <c r="L19" s="44" t="s">
        <v>100</v>
      </c>
      <c r="M19" s="45" t="s">
        <v>62</v>
      </c>
      <c r="N19" s="45" t="s">
        <v>63</v>
      </c>
      <c r="O19" s="46" t="s">
        <v>93</v>
      </c>
      <c r="P19" s="47" t="s">
        <v>94</v>
      </c>
    </row>
    <row r="20" spans="1:16" ht="12.75" customHeight="1" thickBot="1" x14ac:dyDescent="0.25">
      <c r="A20" s="10" t="str">
        <f t="shared" si="0"/>
        <v>IBVS 6005 </v>
      </c>
      <c r="B20" s="3" t="str">
        <f t="shared" si="1"/>
        <v>I</v>
      </c>
      <c r="C20" s="10">
        <f t="shared" si="2"/>
        <v>55699.466500000002</v>
      </c>
      <c r="D20" s="12" t="str">
        <f t="shared" si="3"/>
        <v>vis</v>
      </c>
      <c r="E20" s="43">
        <f>VLOOKUP(C20,Active!C$21:E$973,3,FALSE)</f>
        <v>2575.9635560543957</v>
      </c>
      <c r="F20" s="3" t="s">
        <v>57</v>
      </c>
      <c r="G20" s="12" t="str">
        <f t="shared" si="4"/>
        <v>55699.4665</v>
      </c>
      <c r="H20" s="10">
        <f t="shared" si="5"/>
        <v>2576</v>
      </c>
      <c r="I20" s="44" t="s">
        <v>101</v>
      </c>
      <c r="J20" s="45" t="s">
        <v>102</v>
      </c>
      <c r="K20" s="44">
        <v>2576</v>
      </c>
      <c r="L20" s="44" t="s">
        <v>103</v>
      </c>
      <c r="M20" s="45" t="s">
        <v>62</v>
      </c>
      <c r="N20" s="45" t="s">
        <v>63</v>
      </c>
      <c r="O20" s="46" t="s">
        <v>93</v>
      </c>
      <c r="P20" s="47" t="s">
        <v>94</v>
      </c>
    </row>
    <row r="21" spans="1:16" ht="12.75" customHeight="1" thickBot="1" x14ac:dyDescent="0.25">
      <c r="A21" s="10" t="str">
        <f t="shared" si="0"/>
        <v>IBVS 6005 </v>
      </c>
      <c r="B21" s="3" t="str">
        <f t="shared" si="1"/>
        <v>I</v>
      </c>
      <c r="C21" s="10">
        <f t="shared" si="2"/>
        <v>55702.3606</v>
      </c>
      <c r="D21" s="12" t="str">
        <f t="shared" si="3"/>
        <v>vis</v>
      </c>
      <c r="E21" s="43">
        <f>VLOOKUP(C21,Active!C$21:E$973,3,FALSE)</f>
        <v>2582.9581196246554</v>
      </c>
      <c r="F21" s="3" t="s">
        <v>57</v>
      </c>
      <c r="G21" s="12" t="str">
        <f t="shared" si="4"/>
        <v>55702.3606</v>
      </c>
      <c r="H21" s="10">
        <f t="shared" si="5"/>
        <v>2583</v>
      </c>
      <c r="I21" s="44" t="s">
        <v>104</v>
      </c>
      <c r="J21" s="45" t="s">
        <v>105</v>
      </c>
      <c r="K21" s="44">
        <v>2583</v>
      </c>
      <c r="L21" s="44" t="s">
        <v>106</v>
      </c>
      <c r="M21" s="45" t="s">
        <v>62</v>
      </c>
      <c r="N21" s="45" t="s">
        <v>63</v>
      </c>
      <c r="O21" s="46" t="s">
        <v>93</v>
      </c>
      <c r="P21" s="47" t="s">
        <v>94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</v>
      </c>
      <c r="C22" s="10">
        <f t="shared" si="2"/>
        <v>56003.581939999996</v>
      </c>
      <c r="D22" s="12" t="str">
        <f t="shared" si="3"/>
        <v>vis</v>
      </c>
      <c r="E22" s="43">
        <f>VLOOKUP(C22,Active!C$21:E$973,3,FALSE)</f>
        <v>3310.9605422605346</v>
      </c>
      <c r="F22" s="3" t="s">
        <v>57</v>
      </c>
      <c r="G22" s="12" t="str">
        <f t="shared" si="4"/>
        <v>56003.58194</v>
      </c>
      <c r="H22" s="10">
        <f t="shared" si="5"/>
        <v>3311</v>
      </c>
      <c r="I22" s="44" t="s">
        <v>107</v>
      </c>
      <c r="J22" s="45" t="s">
        <v>108</v>
      </c>
      <c r="K22" s="44">
        <v>3311</v>
      </c>
      <c r="L22" s="44" t="s">
        <v>109</v>
      </c>
      <c r="M22" s="45" t="s">
        <v>62</v>
      </c>
      <c r="N22" s="45" t="s">
        <v>49</v>
      </c>
      <c r="O22" s="46" t="s">
        <v>110</v>
      </c>
      <c r="P22" s="47" t="s">
        <v>111</v>
      </c>
    </row>
    <row r="23" spans="1:16" ht="12.75" customHeight="1" thickBot="1" x14ac:dyDescent="0.25">
      <c r="A23" s="10" t="str">
        <f t="shared" si="0"/>
        <v>IBVS 6125 </v>
      </c>
      <c r="B23" s="3" t="str">
        <f t="shared" si="1"/>
        <v>II</v>
      </c>
      <c r="C23" s="10">
        <f t="shared" si="2"/>
        <v>56420.449800000002</v>
      </c>
      <c r="D23" s="12" t="str">
        <f t="shared" si="3"/>
        <v>vis</v>
      </c>
      <c r="E23" s="43">
        <f>VLOOKUP(C23,Active!C$21:E$973,3,FALSE)</f>
        <v>4318.4615778745529</v>
      </c>
      <c r="F23" s="3" t="s">
        <v>57</v>
      </c>
      <c r="G23" s="12" t="str">
        <f t="shared" si="4"/>
        <v>56420.4498</v>
      </c>
      <c r="H23" s="10">
        <f t="shared" si="5"/>
        <v>4318.5</v>
      </c>
      <c r="I23" s="44" t="s">
        <v>112</v>
      </c>
      <c r="J23" s="45" t="s">
        <v>113</v>
      </c>
      <c r="K23" s="44">
        <v>4318.5</v>
      </c>
      <c r="L23" s="44" t="s">
        <v>114</v>
      </c>
      <c r="M23" s="45" t="s">
        <v>62</v>
      </c>
      <c r="N23" s="45" t="s">
        <v>63</v>
      </c>
      <c r="O23" s="46" t="s">
        <v>115</v>
      </c>
      <c r="P23" s="47" t="s">
        <v>116</v>
      </c>
    </row>
    <row r="24" spans="1:16" ht="12.75" customHeight="1" thickBot="1" x14ac:dyDescent="0.25">
      <c r="A24" s="10" t="str">
        <f t="shared" si="0"/>
        <v>IBVS 6125 </v>
      </c>
      <c r="B24" s="3" t="str">
        <f t="shared" si="1"/>
        <v>I</v>
      </c>
      <c r="C24" s="10">
        <f t="shared" si="2"/>
        <v>56441.342100000002</v>
      </c>
      <c r="D24" s="12" t="str">
        <f t="shared" si="3"/>
        <v>vis</v>
      </c>
      <c r="E24" s="43">
        <f>VLOOKUP(C24,Active!C$21:E$973,3,FALSE)</f>
        <v>4368.9548298282007</v>
      </c>
      <c r="F24" s="3" t="s">
        <v>57</v>
      </c>
      <c r="G24" s="12" t="str">
        <f t="shared" si="4"/>
        <v>56441.3421</v>
      </c>
      <c r="H24" s="10">
        <f t="shared" si="5"/>
        <v>4369</v>
      </c>
      <c r="I24" s="44" t="s">
        <v>117</v>
      </c>
      <c r="J24" s="45" t="s">
        <v>118</v>
      </c>
      <c r="K24" s="44">
        <v>4369</v>
      </c>
      <c r="L24" s="44" t="s">
        <v>119</v>
      </c>
      <c r="M24" s="45" t="s">
        <v>62</v>
      </c>
      <c r="N24" s="45" t="s">
        <v>63</v>
      </c>
      <c r="O24" s="46" t="s">
        <v>120</v>
      </c>
      <c r="P24" s="47" t="s">
        <v>116</v>
      </c>
    </row>
    <row r="25" spans="1:16" ht="12.75" customHeight="1" thickBot="1" x14ac:dyDescent="0.25">
      <c r="A25" s="10" t="str">
        <f t="shared" si="0"/>
        <v>IBVS 6125 </v>
      </c>
      <c r="B25" s="3" t="str">
        <f t="shared" si="1"/>
        <v>II</v>
      </c>
      <c r="C25" s="10">
        <f t="shared" si="2"/>
        <v>56444.447</v>
      </c>
      <c r="D25" s="12" t="str">
        <f t="shared" si="3"/>
        <v>vis</v>
      </c>
      <c r="E25" s="43">
        <f>VLOOKUP(C25,Active!C$21:E$973,3,FALSE)</f>
        <v>4376.4588623181999</v>
      </c>
      <c r="F25" s="3" t="s">
        <v>57</v>
      </c>
      <c r="G25" s="12" t="str">
        <f t="shared" si="4"/>
        <v>56444.4470</v>
      </c>
      <c r="H25" s="10">
        <f t="shared" si="5"/>
        <v>4376.5</v>
      </c>
      <c r="I25" s="44" t="s">
        <v>121</v>
      </c>
      <c r="J25" s="45" t="s">
        <v>122</v>
      </c>
      <c r="K25" s="44">
        <v>4376.5</v>
      </c>
      <c r="L25" s="44" t="s">
        <v>123</v>
      </c>
      <c r="M25" s="45" t="s">
        <v>62</v>
      </c>
      <c r="N25" s="45" t="s">
        <v>63</v>
      </c>
      <c r="O25" s="46" t="s">
        <v>124</v>
      </c>
      <c r="P25" s="47" t="s">
        <v>116</v>
      </c>
    </row>
    <row r="26" spans="1:16" ht="12.75" customHeight="1" thickBot="1" x14ac:dyDescent="0.25">
      <c r="A26" s="10" t="str">
        <f t="shared" si="0"/>
        <v>IBVS 6125 </v>
      </c>
      <c r="B26" s="3" t="str">
        <f t="shared" si="1"/>
        <v>I</v>
      </c>
      <c r="C26" s="10">
        <f t="shared" si="2"/>
        <v>56477.340600000003</v>
      </c>
      <c r="D26" s="12" t="str">
        <f t="shared" si="3"/>
        <v>vis</v>
      </c>
      <c r="E26" s="43">
        <f>VLOOKUP(C26,Active!C$21:E$973,3,FALSE)</f>
        <v>4455.9572819494852</v>
      </c>
      <c r="F26" s="3" t="s">
        <v>57</v>
      </c>
      <c r="G26" s="12" t="str">
        <f t="shared" si="4"/>
        <v>56477.3406</v>
      </c>
      <c r="H26" s="10">
        <f t="shared" si="5"/>
        <v>4456</v>
      </c>
      <c r="I26" s="44" t="s">
        <v>125</v>
      </c>
      <c r="J26" s="45" t="s">
        <v>126</v>
      </c>
      <c r="K26" s="44">
        <v>4456</v>
      </c>
      <c r="L26" s="44" t="s">
        <v>127</v>
      </c>
      <c r="M26" s="45" t="s">
        <v>62</v>
      </c>
      <c r="N26" s="45" t="s">
        <v>63</v>
      </c>
      <c r="O26" s="46" t="s">
        <v>128</v>
      </c>
      <c r="P26" s="47" t="s">
        <v>116</v>
      </c>
    </row>
    <row r="27" spans="1:16" ht="12.75" customHeight="1" thickBot="1" x14ac:dyDescent="0.25">
      <c r="A27" s="10" t="str">
        <f t="shared" si="0"/>
        <v>BAVM 241 (=IBVS 6157) </v>
      </c>
      <c r="B27" s="3" t="str">
        <f t="shared" si="1"/>
        <v>II</v>
      </c>
      <c r="C27" s="10">
        <f t="shared" si="2"/>
        <v>57154.453500000003</v>
      </c>
      <c r="D27" s="12" t="str">
        <f t="shared" si="3"/>
        <v>vis</v>
      </c>
      <c r="E27" s="43">
        <f>VLOOKUP(C27,Active!C$21:E$973,3,FALSE)</f>
        <v>6092.4277644126851</v>
      </c>
      <c r="F27" s="3" t="s">
        <v>57</v>
      </c>
      <c r="G27" s="12" t="str">
        <f t="shared" si="4"/>
        <v>57154.4535</v>
      </c>
      <c r="H27" s="10">
        <f t="shared" si="5"/>
        <v>6092.5</v>
      </c>
      <c r="I27" s="44" t="s">
        <v>129</v>
      </c>
      <c r="J27" s="45" t="s">
        <v>130</v>
      </c>
      <c r="K27" s="44">
        <v>6092.5</v>
      </c>
      <c r="L27" s="44" t="s">
        <v>131</v>
      </c>
      <c r="M27" s="45" t="s">
        <v>62</v>
      </c>
      <c r="N27" s="45" t="s">
        <v>132</v>
      </c>
      <c r="O27" s="46" t="s">
        <v>133</v>
      </c>
      <c r="P27" s="47" t="s">
        <v>134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</sheetData>
  <phoneticPr fontId="8" type="noConversion"/>
  <hyperlinks>
    <hyperlink ref="A3" r:id="rId1" xr:uid="{00000000-0004-0000-0100-000000000000}"/>
    <hyperlink ref="P11" r:id="rId2" display="http://www.konkoly.hu/cgi-bin/IBVS?5754" xr:uid="{00000000-0004-0000-0100-000001000000}"/>
    <hyperlink ref="P12" r:id="rId3" display="http://www.konkoly.hu/cgi-bin/IBVS?5754" xr:uid="{00000000-0004-0000-0100-000002000000}"/>
    <hyperlink ref="P13" r:id="rId4" display="http://www.bav-astro.de/sfs/BAVM_link.php?BAVMnr=215" xr:uid="{00000000-0004-0000-0100-000003000000}"/>
    <hyperlink ref="P14" r:id="rId5" display="http://var.astro.cz/oejv/issues/oejv0094.pdf" xr:uid="{00000000-0004-0000-0100-000004000000}"/>
    <hyperlink ref="P15" r:id="rId6" display="http://www.bav-astro.de/sfs/BAVM_link.php?BAVMnr=215" xr:uid="{00000000-0004-0000-0100-000005000000}"/>
    <hyperlink ref="P16" r:id="rId7" display="http://www.konkoly.hu/cgi-bin/IBVS?6007" xr:uid="{00000000-0004-0000-0100-000006000000}"/>
    <hyperlink ref="P17" r:id="rId8" display="http://www.konkoly.hu/cgi-bin/IBVS?6005" xr:uid="{00000000-0004-0000-0100-000007000000}"/>
    <hyperlink ref="P18" r:id="rId9" display="http://www.konkoly.hu/cgi-bin/IBVS?6005" xr:uid="{00000000-0004-0000-0100-000008000000}"/>
    <hyperlink ref="P19" r:id="rId10" display="http://www.konkoly.hu/cgi-bin/IBVS?6005" xr:uid="{00000000-0004-0000-0100-000009000000}"/>
    <hyperlink ref="P20" r:id="rId11" display="http://www.konkoly.hu/cgi-bin/IBVS?6005" xr:uid="{00000000-0004-0000-0100-00000A000000}"/>
    <hyperlink ref="P21" r:id="rId12" display="http://www.konkoly.hu/cgi-bin/IBVS?6005" xr:uid="{00000000-0004-0000-0100-00000B000000}"/>
    <hyperlink ref="P22" r:id="rId13" display="http://var.astro.cz/oejv/issues/oejv0160.pdf" xr:uid="{00000000-0004-0000-0100-00000C000000}"/>
    <hyperlink ref="P23" r:id="rId14" display="http://www.konkoly.hu/cgi-bin/IBVS?6125" xr:uid="{00000000-0004-0000-0100-00000D000000}"/>
    <hyperlink ref="P24" r:id="rId15" display="http://www.konkoly.hu/cgi-bin/IBVS?6125" xr:uid="{00000000-0004-0000-0100-00000E000000}"/>
    <hyperlink ref="P25" r:id="rId16" display="http://www.konkoly.hu/cgi-bin/IBVS?6125" xr:uid="{00000000-0004-0000-0100-00000F000000}"/>
    <hyperlink ref="P26" r:id="rId17" display="http://www.konkoly.hu/cgi-bin/IBVS?6125" xr:uid="{00000000-0004-0000-0100-000010000000}"/>
    <hyperlink ref="P27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2024-01-15T04:15:38Z</dcterms:modified>
</cp:coreProperties>
</file>