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8E3BA69-A197-448C-A830-9E42A86DE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0" i="1" l="1"/>
  <c r="F60" i="1"/>
  <c r="G60" i="1" s="1"/>
  <c r="K60" i="1" s="1"/>
  <c r="Q60" i="1"/>
  <c r="E61" i="1"/>
  <c r="F61" i="1" s="1"/>
  <c r="G61" i="1" s="1"/>
  <c r="K61" i="1" s="1"/>
  <c r="Q61" i="1"/>
  <c r="E59" i="1"/>
  <c r="F59" i="1"/>
  <c r="G59" i="1"/>
  <c r="K59" i="1"/>
  <c r="D9" i="1"/>
  <c r="C9" i="1"/>
  <c r="Q59" i="1"/>
  <c r="E24" i="1"/>
  <c r="F24" i="1"/>
  <c r="G24" i="1"/>
  <c r="E30" i="1"/>
  <c r="F30" i="1"/>
  <c r="G30" i="1"/>
  <c r="E34" i="1"/>
  <c r="F34" i="1"/>
  <c r="G34" i="1"/>
  <c r="E44" i="1"/>
  <c r="F44" i="1"/>
  <c r="G44" i="1"/>
  <c r="E52" i="1"/>
  <c r="F52" i="1"/>
  <c r="G52" i="1"/>
  <c r="J52" i="1"/>
  <c r="E53" i="1"/>
  <c r="F53" i="1"/>
  <c r="G53" i="1"/>
  <c r="J53" i="1"/>
  <c r="E54" i="1"/>
  <c r="F54" i="1"/>
  <c r="G54" i="1"/>
  <c r="J54" i="1"/>
  <c r="E55" i="1"/>
  <c r="F55" i="1"/>
  <c r="G55" i="1"/>
  <c r="J55" i="1"/>
  <c r="E56" i="1"/>
  <c r="F56" i="1"/>
  <c r="G56" i="1"/>
  <c r="J56" i="1"/>
  <c r="E35" i="1"/>
  <c r="F35" i="1"/>
  <c r="G35" i="1"/>
  <c r="E37" i="1"/>
  <c r="F37" i="1"/>
  <c r="G37" i="1"/>
  <c r="E38" i="1"/>
  <c r="F38" i="1"/>
  <c r="G38" i="1"/>
  <c r="E39" i="1"/>
  <c r="F39" i="1"/>
  <c r="G39" i="1"/>
  <c r="E40" i="1"/>
  <c r="F40" i="1"/>
  <c r="G40" i="1"/>
  <c r="E29" i="1"/>
  <c r="F29" i="1"/>
  <c r="G29" i="1"/>
  <c r="E27" i="1"/>
  <c r="F27" i="1"/>
  <c r="G27" i="1"/>
  <c r="E33" i="1"/>
  <c r="F33" i="1"/>
  <c r="G33" i="1"/>
  <c r="E41" i="1"/>
  <c r="F41" i="1"/>
  <c r="G41" i="1"/>
  <c r="E42" i="1"/>
  <c r="F42" i="1"/>
  <c r="G42" i="1"/>
  <c r="E43" i="1"/>
  <c r="F43" i="1"/>
  <c r="G43" i="1"/>
  <c r="E45" i="1"/>
  <c r="F45" i="1"/>
  <c r="G45" i="1"/>
  <c r="E46" i="1"/>
  <c r="F46" i="1"/>
  <c r="G46" i="1"/>
  <c r="E47" i="1"/>
  <c r="F47" i="1"/>
  <c r="G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23" i="1"/>
  <c r="F23" i="1"/>
  <c r="G23" i="1"/>
  <c r="E28" i="1"/>
  <c r="F28" i="1"/>
  <c r="G28" i="1"/>
  <c r="K28" i="1"/>
  <c r="E31" i="1"/>
  <c r="F31" i="1"/>
  <c r="G31" i="1"/>
  <c r="K31" i="1"/>
  <c r="E32" i="1"/>
  <c r="F32" i="1"/>
  <c r="G32" i="1"/>
  <c r="K32" i="1"/>
  <c r="E36" i="1"/>
  <c r="F36" i="1"/>
  <c r="G36" i="1"/>
  <c r="K36" i="1"/>
  <c r="E57" i="1"/>
  <c r="F57" i="1"/>
  <c r="G57" i="1"/>
  <c r="K57" i="1"/>
  <c r="E58" i="1"/>
  <c r="F58" i="1"/>
  <c r="G58" i="1"/>
  <c r="K58" i="1"/>
  <c r="Q28" i="1"/>
  <c r="Q31" i="1"/>
  <c r="Q32" i="1"/>
  <c r="Q36" i="1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43" i="2"/>
  <c r="C43" i="2"/>
  <c r="E43" i="2"/>
  <c r="G20" i="2"/>
  <c r="C20" i="2"/>
  <c r="E20" i="2"/>
  <c r="G19" i="2"/>
  <c r="C19" i="2"/>
  <c r="E19" i="2"/>
  <c r="G18" i="2"/>
  <c r="C18" i="2"/>
  <c r="E18" i="2"/>
  <c r="G42" i="2"/>
  <c r="C42" i="2"/>
  <c r="E42" i="2"/>
  <c r="G41" i="2"/>
  <c r="C41" i="2"/>
  <c r="E41" i="2"/>
  <c r="G17" i="2"/>
  <c r="C17" i="2"/>
  <c r="E17" i="2"/>
  <c r="G16" i="2"/>
  <c r="C16" i="2"/>
  <c r="E16" i="2"/>
  <c r="G40" i="2"/>
  <c r="C40" i="2"/>
  <c r="E40" i="2"/>
  <c r="G15" i="2"/>
  <c r="C15" i="2"/>
  <c r="E15" i="2"/>
  <c r="G14" i="2"/>
  <c r="C14" i="2"/>
  <c r="E14" i="2"/>
  <c r="E26" i="1"/>
  <c r="G13" i="2"/>
  <c r="C13" i="2"/>
  <c r="E13" i="2"/>
  <c r="E25" i="1"/>
  <c r="G12" i="2"/>
  <c r="C12" i="2"/>
  <c r="E12" i="2"/>
  <c r="G11" i="2"/>
  <c r="C11" i="2"/>
  <c r="E11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43" i="2"/>
  <c r="B43" i="2"/>
  <c r="D43" i="2"/>
  <c r="A43" i="2"/>
  <c r="H20" i="2"/>
  <c r="D20" i="2"/>
  <c r="B20" i="2"/>
  <c r="A20" i="2"/>
  <c r="H19" i="2"/>
  <c r="B19" i="2"/>
  <c r="D19" i="2"/>
  <c r="A19" i="2"/>
  <c r="H18" i="2"/>
  <c r="D18" i="2"/>
  <c r="B18" i="2"/>
  <c r="A18" i="2"/>
  <c r="H42" i="2"/>
  <c r="B42" i="2"/>
  <c r="D42" i="2"/>
  <c r="A42" i="2"/>
  <c r="H41" i="2"/>
  <c r="D41" i="2"/>
  <c r="B41" i="2"/>
  <c r="A41" i="2"/>
  <c r="H17" i="2"/>
  <c r="B17" i="2"/>
  <c r="D17" i="2"/>
  <c r="A17" i="2"/>
  <c r="H16" i="2"/>
  <c r="D16" i="2"/>
  <c r="B16" i="2"/>
  <c r="A16" i="2"/>
  <c r="H40" i="2"/>
  <c r="B40" i="2"/>
  <c r="D40" i="2"/>
  <c r="A40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58" i="1"/>
  <c r="Q56" i="1"/>
  <c r="Q55" i="1"/>
  <c r="Q54" i="1"/>
  <c r="Q53" i="1"/>
  <c r="C17" i="1"/>
  <c r="Q57" i="1"/>
  <c r="E22" i="1"/>
  <c r="F22" i="1"/>
  <c r="G22" i="1"/>
  <c r="F25" i="1"/>
  <c r="G25" i="1"/>
  <c r="K25" i="1"/>
  <c r="F26" i="1"/>
  <c r="G26" i="1"/>
  <c r="Q51" i="1"/>
  <c r="Q52" i="1"/>
  <c r="E21" i="1"/>
  <c r="F21" i="1"/>
  <c r="G21" i="1"/>
  <c r="H21" i="1"/>
  <c r="Q49" i="1"/>
  <c r="Q48" i="1"/>
  <c r="Q47" i="1"/>
  <c r="Q46" i="1"/>
  <c r="Q45" i="1"/>
  <c r="Q50" i="1"/>
  <c r="F16" i="1"/>
  <c r="F17" i="1" s="1"/>
  <c r="R26" i="1"/>
  <c r="Q21" i="1"/>
  <c r="Q22" i="1"/>
  <c r="Q23" i="1"/>
  <c r="Q24" i="1"/>
  <c r="Q25" i="1"/>
  <c r="K26" i="1"/>
  <c r="Q26" i="1"/>
  <c r="Q27" i="1"/>
  <c r="Q29" i="1"/>
  <c r="Q30" i="1"/>
  <c r="Q33" i="1"/>
  <c r="Q34" i="1"/>
  <c r="Q35" i="1"/>
  <c r="Q37" i="1"/>
  <c r="Q38" i="1"/>
  <c r="Q39" i="1"/>
  <c r="Q40" i="1"/>
  <c r="Q41" i="1"/>
  <c r="Q42" i="1"/>
  <c r="Q43" i="1"/>
  <c r="Q44" i="1"/>
  <c r="K39" i="1"/>
  <c r="R39" i="1"/>
  <c r="R47" i="1"/>
  <c r="K47" i="1"/>
  <c r="R41" i="1"/>
  <c r="K41" i="1"/>
  <c r="R30" i="1"/>
  <c r="J30" i="1"/>
  <c r="R23" i="1"/>
  <c r="J23" i="1"/>
  <c r="R33" i="1"/>
  <c r="K33" i="1"/>
  <c r="K38" i="1"/>
  <c r="R38" i="1"/>
  <c r="R24" i="1"/>
  <c r="J24" i="1"/>
  <c r="R46" i="1"/>
  <c r="K46" i="1"/>
  <c r="R37" i="1"/>
  <c r="K37" i="1"/>
  <c r="R45" i="1"/>
  <c r="K45" i="1"/>
  <c r="K27" i="1"/>
  <c r="R27" i="1"/>
  <c r="R29" i="1"/>
  <c r="K29" i="1"/>
  <c r="K35" i="1"/>
  <c r="R35" i="1"/>
  <c r="R22" i="1"/>
  <c r="H22" i="1"/>
  <c r="K43" i="1"/>
  <c r="R43" i="1"/>
  <c r="J44" i="1"/>
  <c r="R44" i="1"/>
  <c r="R42" i="1"/>
  <c r="K42" i="1"/>
  <c r="R40" i="1"/>
  <c r="K40" i="1"/>
  <c r="R34" i="1"/>
  <c r="J34" i="1"/>
  <c r="R25" i="1"/>
  <c r="C12" i="1"/>
  <c r="C11" i="1"/>
  <c r="O61" i="1" l="1"/>
  <c r="R61" i="1" s="1"/>
  <c r="O60" i="1"/>
  <c r="R60" i="1" s="1"/>
  <c r="O54" i="1"/>
  <c r="R54" i="1" s="1"/>
  <c r="O49" i="1"/>
  <c r="R49" i="1" s="1"/>
  <c r="O51" i="1"/>
  <c r="R51" i="1" s="1"/>
  <c r="O36" i="1"/>
  <c r="R36" i="1" s="1"/>
  <c r="O52" i="1"/>
  <c r="R52" i="1" s="1"/>
  <c r="O48" i="1"/>
  <c r="R48" i="1" s="1"/>
  <c r="O32" i="1"/>
  <c r="R32" i="1" s="1"/>
  <c r="O59" i="1"/>
  <c r="R59" i="1" s="1"/>
  <c r="O56" i="1"/>
  <c r="R56" i="1" s="1"/>
  <c r="O28" i="1"/>
  <c r="R28" i="1" s="1"/>
  <c r="O57" i="1"/>
  <c r="R57" i="1" s="1"/>
  <c r="C15" i="1"/>
  <c r="F18" i="1" s="1"/>
  <c r="O31" i="1"/>
  <c r="R31" i="1" s="1"/>
  <c r="O55" i="1"/>
  <c r="R55" i="1" s="1"/>
  <c r="O58" i="1"/>
  <c r="R58" i="1" s="1"/>
  <c r="O53" i="1"/>
  <c r="R53" i="1" s="1"/>
  <c r="O50" i="1"/>
  <c r="R50" i="1" s="1"/>
  <c r="C16" i="1"/>
  <c r="D18" i="1" s="1"/>
  <c r="F19" i="1" l="1"/>
  <c r="C18" i="1"/>
  <c r="R19" i="1"/>
</calcChain>
</file>

<file path=xl/sharedStrings.xml><?xml version="1.0" encoding="utf-8"?>
<sst xmlns="http://schemas.openxmlformats.org/spreadsheetml/2006/main" count="409" uniqueCount="216">
  <si>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</si>
  <si>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</si>
  <si>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</si>
  <si>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</si>
  <si>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</si>
  <si>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</si>
  <si>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</si>
  <si>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</si>
  <si>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</si>
  <si>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</si>
  <si>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</si>
  <si>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</si>
  <si>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</si>
  <si>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</si>
  <si>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</si>
  <si>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</si>
  <si>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</si>
  <si>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</si>
  <si>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</si>
  <si>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</si>
  <si>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</si>
  <si>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</si>
  <si>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</si>
  <si>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</si>
  <si>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5380</t>
  </si>
  <si>
    <t>IBVS</t>
  </si>
  <si>
    <t>5380</t>
  </si>
  <si>
    <t>II</t>
  </si>
  <si>
    <t>IBVS 5341</t>
  </si>
  <si>
    <t>I</t>
  </si>
  <si>
    <t>not avail.</t>
  </si>
  <si>
    <t>Hipparcos ToM</t>
  </si>
  <si>
    <t>Rather ugly.  Is this the right period?</t>
  </si>
  <si>
    <t>IBVS 5592</t>
  </si>
  <si>
    <t>IBVS 5657</t>
  </si>
  <si>
    <t>IBVS 5668</t>
  </si>
  <si>
    <t>EW</t>
  </si>
  <si>
    <t>FI Boo / GSC 3488-0799</t>
  </si>
  <si>
    <t>IBVS 5802</t>
  </si>
  <si>
    <t>IBVS 5814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</si>
  <si>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</si>
  <si>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</si>
  <si>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</si>
  <si>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</si>
  <si>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</si>
  <si>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</si>
  <si>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Period was verified by ToMCat (period search software).</t>
  </si>
  <si>
    <t>Start of linear fit &gt;&gt;&gt;&gt;&gt;&gt;&gt;&gt;&gt;&gt;&gt;&gt;&gt;&gt;&gt;&gt;&gt;&gt;&gt;&gt;&gt;</t>
  </si>
  <si>
    <t>IBVS 5898</t>
  </si>
  <si>
    <t>Add cycle</t>
  </si>
  <si>
    <t>Old Cycle</t>
  </si>
  <si>
    <t>IBVS 5980</t>
  </si>
  <si>
    <t>IBVS 6010</t>
  </si>
  <si>
    <t>IBVS 6044</t>
  </si>
  <si>
    <t>IBVS 6084</t>
  </si>
  <si>
    <t>IBVS 6092</t>
  </si>
  <si>
    <t>IBVS 6149</t>
  </si>
  <si>
    <t>Also by 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</si>
  <si>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</si>
  <si>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</si>
  <si>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</si>
  <si>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</si>
  <si>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</si>
  <si>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</si>
  <si>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</si>
  <si>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</si>
  <si>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</si>
  <si>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</si>
  <si>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</si>
  <si>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2452043.4593 </t>
  </si>
  <si>
    <t> 13.05.2001 23:01 </t>
  </si>
  <si>
    <t> 0.0085 </t>
  </si>
  <si>
    <t>E </t>
  </si>
  <si>
    <t>?</t>
  </si>
  <si>
    <t> T.Pribulla et al. </t>
  </si>
  <si>
    <t>IBVS 5341 </t>
  </si>
  <si>
    <t>2452053.4095 </t>
  </si>
  <si>
    <t> 23.05.2001 21:49 </t>
  </si>
  <si>
    <t> 0.0136 </t>
  </si>
  <si>
    <t>2452400.3133 </t>
  </si>
  <si>
    <t> 05.05.2002 19:31 </t>
  </si>
  <si>
    <t> 0.0116 </t>
  </si>
  <si>
    <t>G</t>
  </si>
  <si>
    <t> Karska&amp;Maciejewski </t>
  </si>
  <si>
    <t>IBVS 5380 </t>
  </si>
  <si>
    <t>2452400.4915 </t>
  </si>
  <si>
    <t> 05.05.2002 23:47 </t>
  </si>
  <si>
    <t> -0.0052 </t>
  </si>
  <si>
    <t>2453104.4504 </t>
  </si>
  <si>
    <t> 08.04.2004 22:48 </t>
  </si>
  <si>
    <t> 0.0019 </t>
  </si>
  <si>
    <t>IBVS 5668 </t>
  </si>
  <si>
    <t>2453124.1422 </t>
  </si>
  <si>
    <t> 28.04.2004 15:24 </t>
  </si>
  <si>
    <t> -0.0014 </t>
  </si>
  <si>
    <t> Nakajima </t>
  </si>
  <si>
    <t>VSB 43 </t>
  </si>
  <si>
    <t>2453149.2994 </t>
  </si>
  <si>
    <t> 23.05.2004 19:11 </t>
  </si>
  <si>
    <t> 0.0007 </t>
  </si>
  <si>
    <t> T.Krajci </t>
  </si>
  <si>
    <t>IBVS 5592 </t>
  </si>
  <si>
    <t>2453455.4399 </t>
  </si>
  <si>
    <t> 25.03.2005 22:33 </t>
  </si>
  <si>
    <t> -0.0095 </t>
  </si>
  <si>
    <t>o</t>
  </si>
  <si>
    <t> U.Schmidt </t>
  </si>
  <si>
    <t>BAVM 173 </t>
  </si>
  <si>
    <t>2453834.1347 </t>
  </si>
  <si>
    <t> 08.04.2006 15:13 </t>
  </si>
  <si>
    <t> -0.0057 </t>
  </si>
  <si>
    <t> K. Nagai et al. </t>
  </si>
  <si>
    <t>VSB 45 </t>
  </si>
  <si>
    <t>2453867.1058 </t>
  </si>
  <si>
    <t> 11.05.2006 14:32 </t>
  </si>
  <si>
    <t> 0.0103 </t>
  </si>
  <si>
    <t>2453885.6150 </t>
  </si>
  <si>
    <t> 30.05.2006 02:45 </t>
  </si>
  <si>
    <t> -0.0056 </t>
  </si>
  <si>
    <t>C </t>
  </si>
  <si>
    <t> S.Dvorak </t>
  </si>
  <si>
    <t>IBVS 5814 </t>
  </si>
  <si>
    <t>2454221.4135 </t>
  </si>
  <si>
    <t> 30.04.2007 21:55 </t>
  </si>
  <si>
    <t> 0.0021 </t>
  </si>
  <si>
    <t> H.Jungbluth </t>
  </si>
  <si>
    <t>BAVM 186 </t>
  </si>
  <si>
    <t>2454305.4473 </t>
  </si>
  <si>
    <t> 23.07.2007 22:44 </t>
  </si>
  <si>
    <t> -0.0093 </t>
  </si>
  <si>
    <t> S.Parimucha et al. </t>
  </si>
  <si>
    <t>IBVS 5898 </t>
  </si>
  <si>
    <t>2454562.2712 </t>
  </si>
  <si>
    <t> 05.04.2008 18:30 </t>
  </si>
  <si>
    <t> -0.0011 </t>
  </si>
  <si>
    <t>Ic</t>
  </si>
  <si>
    <t> K.Nakajima </t>
  </si>
  <si>
    <t>VSB 48 </t>
  </si>
  <si>
    <t>2454581.3785 </t>
  </si>
  <si>
    <t> 24.04.2008 21:05 </t>
  </si>
  <si>
    <t> -0.0038 </t>
  </si>
  <si>
    <t>2454581.5654 </t>
  </si>
  <si>
    <t> 25.04.2008 01:34 </t>
  </si>
  <si>
    <t> -0.0119 </t>
  </si>
  <si>
    <t>2454616.4727 </t>
  </si>
  <si>
    <t> 29.05.2008 23:20 </t>
  </si>
  <si>
    <t> -0.0097 </t>
  </si>
  <si>
    <t>2454657.4272 </t>
  </si>
  <si>
    <t> 09.07.2008 22:15 </t>
  </si>
  <si>
    <t> -0.0053 </t>
  </si>
  <si>
    <t>2455211.6029 </t>
  </si>
  <si>
    <t> 15.01.2010 02:28 </t>
  </si>
  <si>
    <t> -0.0211 </t>
  </si>
  <si>
    <t>R</t>
  </si>
  <si>
    <t>IBVS 5980 </t>
  </si>
  <si>
    <t>2455272.4494 </t>
  </si>
  <si>
    <t> 16.03.2010 22:47 </t>
  </si>
  <si>
    <t> -0.0147 </t>
  </si>
  <si>
    <t>2455381.4537 </t>
  </si>
  <si>
    <t> 03.07.2010 22:53 </t>
  </si>
  <si>
    <t> -0.0157 </t>
  </si>
  <si>
    <t>2455627.5413 </t>
  </si>
  <si>
    <t> 07.03.2011 00:59 </t>
  </si>
  <si>
    <t> -0.0187 </t>
  </si>
  <si>
    <t> F.Agerer </t>
  </si>
  <si>
    <t>BAVM 220 </t>
  </si>
  <si>
    <t>2455644.5159 </t>
  </si>
  <si>
    <t> 24.03.2011 00:22 </t>
  </si>
  <si>
    <t> -0.0092 </t>
  </si>
  <si>
    <t>IBVS 6044 </t>
  </si>
  <si>
    <t>2455662.4535 </t>
  </si>
  <si>
    <t> 10.04.2011 22:53 </t>
  </si>
  <si>
    <t> -0.0116 </t>
  </si>
  <si>
    <t>2456006.4224 </t>
  </si>
  <si>
    <t> 19.03.2012 22:08 </t>
  </si>
  <si>
    <t> -0.0236 </t>
  </si>
  <si>
    <t>2456045.4175 </t>
  </si>
  <si>
    <t> 27.04.2012 22:01 </t>
  </si>
  <si>
    <t> -0.0286 </t>
  </si>
  <si>
    <t>2456046.4016 </t>
  </si>
  <si>
    <t> 28.04.2012 21:38 </t>
  </si>
  <si>
    <t> -0.0195 </t>
  </si>
  <si>
    <t>2456303.022 </t>
  </si>
  <si>
    <t> 10.01.2013 12:31 </t>
  </si>
  <si>
    <t> -0.020 </t>
  </si>
  <si>
    <t> R.Nelson </t>
  </si>
  <si>
    <t>IBVS 6092 </t>
  </si>
  <si>
    <t>2456400.5157 </t>
  </si>
  <si>
    <t> 18.04.2013 00:22 </t>
  </si>
  <si>
    <t> -0.0263 </t>
  </si>
  <si>
    <t>-I</t>
  </si>
  <si>
    <t>BAVM 232 </t>
  </si>
  <si>
    <t>2456729.4897 </t>
  </si>
  <si>
    <t> 12.03.2014 23:45 </t>
  </si>
  <si>
    <t>10844</t>
  </si>
  <si>
    <t> -0.0181 </t>
  </si>
  <si>
    <t>BAVM 238 </t>
  </si>
  <si>
    <t>2456729.6547 </t>
  </si>
  <si>
    <t> 13.03.2014 03:42 </t>
  </si>
  <si>
    <t>10844.5</t>
  </si>
  <si>
    <t> -0.0481 </t>
  </si>
  <si>
    <t>2456730.4561 </t>
  </si>
  <si>
    <t> 13.03.2014 22:56 </t>
  </si>
  <si>
    <t>10846.5</t>
  </si>
  <si>
    <t> -0.0267 </t>
  </si>
  <si>
    <t>2456730.6515 </t>
  </si>
  <si>
    <t> 14.03.2014 03:38 </t>
  </si>
  <si>
    <t>10847</t>
  </si>
  <si>
    <t>s5</t>
  </si>
  <si>
    <t>s6</t>
  </si>
  <si>
    <t>s7</t>
  </si>
  <si>
    <t>IBVS 6154</t>
  </si>
  <si>
    <t>IBVS 6195</t>
  </si>
  <si>
    <t>RHN 2021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</si>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</sst>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>
      <alignment vertical="top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22" fillId="0" borderId="0" xfId="0" applyFont="1" applyAlignment="1">
      <alignment vertical="center"/>
    </xf>
    <xf numFmtId="165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Boo - O-C Diagr.</a:t>
            </a:r>
          </a:p>
        </c:rich>
      </c:tx>
      <c:layout>
        <c:manualLayout>
          <c:xMode val="edge"/>
          <c:yMode val="edge"/>
          <c:x val="0.372377622377622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3916083916083"/>
          <c:y val="0.14723926380368099"/>
          <c:w val="0.7814685314685314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9.1815999985556118E-3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4-47D1-BE11-AAD9612CEC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4-47D1-BE11-AAD9612CEC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-1.7663000035099685E-3</c:v>
                </c:pt>
                <c:pt idx="3">
                  <c:v>3.4898000012617558E-3</c:v>
                </c:pt>
                <c:pt idx="9">
                  <c:v>-8.2012000057147816E-3</c:v>
                </c:pt>
                <c:pt idx="13">
                  <c:v>9.7195999987889081E-3</c:v>
                </c:pt>
                <c:pt idx="23">
                  <c:v>4.5169999066274613E-4</c:v>
                </c:pt>
                <c:pt idx="31">
                  <c:v>-7.8790000407025218E-4</c:v>
                </c:pt>
                <c:pt idx="32">
                  <c:v>1.006779999443097E-2</c:v>
                </c:pt>
                <c:pt idx="33">
                  <c:v>-1.9931100003304891E-2</c:v>
                </c:pt>
                <c:pt idx="34">
                  <c:v>1.473299998906441E-3</c:v>
                </c:pt>
                <c:pt idx="35">
                  <c:v>1.8743999971775338E-3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54-47D1-BE11-AAD9612CEC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4.2466999948373996E-3</c:v>
                </c:pt>
                <c:pt idx="5">
                  <c:v>-1.2552200008940417E-2</c:v>
                </c:pt>
                <c:pt idx="6">
                  <c:v>3.1879999733064324E-4</c:v>
                </c:pt>
                <c:pt idx="7">
                  <c:v>-2.7700999999069609E-3</c:v>
                </c:pt>
                <c:pt idx="8">
                  <c:v>-4.282000008970499E-4</c:v>
                </c:pt>
                <c:pt idx="10">
                  <c:v>-1.2649999989662319E-3</c:v>
                </c:pt>
                <c:pt idx="11">
                  <c:v>1.502089999121381E-2</c:v>
                </c:pt>
                <c:pt idx="12">
                  <c:v>-6.7460000718710944E-4</c:v>
                </c:pt>
                <c:pt idx="14">
                  <c:v>-1.0063000008813106E-3</c:v>
                </c:pt>
                <c:pt idx="15">
                  <c:v>9.3424000006052665E-3</c:v>
                </c:pt>
                <c:pt idx="16">
                  <c:v>6.7501999947126023E-3</c:v>
                </c:pt>
                <c:pt idx="17">
                  <c:v>-1.3487000032910146E-3</c:v>
                </c:pt>
                <c:pt idx="18">
                  <c:v>1.1481999972602352E-3</c:v>
                </c:pt>
                <c:pt idx="19">
                  <c:v>5.8791999981622212E-3</c:v>
                </c:pt>
                <c:pt idx="20">
                  <c:v>-5.2946000068914145E-3</c:v>
                </c:pt>
                <c:pt idx="21">
                  <c:v>1.5485999974771403E-3</c:v>
                </c:pt>
                <c:pt idx="22">
                  <c:v>1.4634999970439821E-3</c:v>
                </c:pt>
                <c:pt idx="24">
                  <c:v>1.0147399996640161E-2</c:v>
                </c:pt>
                <c:pt idx="25">
                  <c:v>7.8485999983968213E-3</c:v>
                </c:pt>
                <c:pt idx="26">
                  <c:v>-1.3109999999869615E-3</c:v>
                </c:pt>
                <c:pt idx="27">
                  <c:v>-5.9909999981755391E-3</c:v>
                </c:pt>
                <c:pt idx="28">
                  <c:v>3.1144999957177788E-3</c:v>
                </c:pt>
                <c:pt idx="29">
                  <c:v>4.9620999925537035E-3</c:v>
                </c:pt>
                <c:pt idx="30">
                  <c:v>4.9620999925537035E-3</c:v>
                </c:pt>
                <c:pt idx="36">
                  <c:v>-3.5684000031324103E-3</c:v>
                </c:pt>
                <c:pt idx="37">
                  <c:v>-1.0348800002248026E-2</c:v>
                </c:pt>
                <c:pt idx="38">
                  <c:v>-8.3928000021842308E-3</c:v>
                </c:pt>
                <c:pt idx="39">
                  <c:v>-7.8783300006762147E-2</c:v>
                </c:pt>
                <c:pt idx="40">
                  <c:v>-1.4978200000768993E-2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54-47D1-BE11-AAD9612CEC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54-47D1-BE11-AAD9612CEC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54-47D1-BE11-AAD9612CEC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54-47D1-BE11-AAD9612CEC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-9872</c:v>
                </c:pt>
                <c:pt idx="1">
                  <c:v>0</c:v>
                </c:pt>
                <c:pt idx="2">
                  <c:v>833.5</c:v>
                </c:pt>
                <c:pt idx="3">
                  <c:v>859</c:v>
                </c:pt>
                <c:pt idx="4">
                  <c:v>1748.5</c:v>
                </c:pt>
                <c:pt idx="5">
                  <c:v>1749</c:v>
                </c:pt>
                <c:pt idx="6">
                  <c:v>3554</c:v>
                </c:pt>
                <c:pt idx="7">
                  <c:v>3604.5</c:v>
                </c:pt>
                <c:pt idx="8">
                  <c:v>3669</c:v>
                </c:pt>
                <c:pt idx="9">
                  <c:v>4454</c:v>
                </c:pt>
                <c:pt idx="10">
                  <c:v>5425</c:v>
                </c:pt>
                <c:pt idx="11">
                  <c:v>5509.5</c:v>
                </c:pt>
                <c:pt idx="12">
                  <c:v>5557</c:v>
                </c:pt>
                <c:pt idx="13">
                  <c:v>6418</c:v>
                </c:pt>
                <c:pt idx="14">
                  <c:v>6633.5</c:v>
                </c:pt>
                <c:pt idx="15">
                  <c:v>7292</c:v>
                </c:pt>
                <c:pt idx="16">
                  <c:v>7341</c:v>
                </c:pt>
                <c:pt idx="17">
                  <c:v>7341.5</c:v>
                </c:pt>
                <c:pt idx="18">
                  <c:v>7431</c:v>
                </c:pt>
                <c:pt idx="19">
                  <c:v>7536</c:v>
                </c:pt>
                <c:pt idx="20">
                  <c:v>8957</c:v>
                </c:pt>
                <c:pt idx="21">
                  <c:v>9113</c:v>
                </c:pt>
                <c:pt idx="22">
                  <c:v>9392.5</c:v>
                </c:pt>
                <c:pt idx="23">
                  <c:v>10023.5</c:v>
                </c:pt>
                <c:pt idx="24">
                  <c:v>10067</c:v>
                </c:pt>
                <c:pt idx="25">
                  <c:v>10113</c:v>
                </c:pt>
                <c:pt idx="26">
                  <c:v>10995</c:v>
                </c:pt>
                <c:pt idx="27">
                  <c:v>11095</c:v>
                </c:pt>
                <c:pt idx="28">
                  <c:v>11097.5</c:v>
                </c:pt>
                <c:pt idx="29">
                  <c:v>11755.5</c:v>
                </c:pt>
                <c:pt idx="30">
                  <c:v>11755.5</c:v>
                </c:pt>
                <c:pt idx="31">
                  <c:v>12005.5</c:v>
                </c:pt>
                <c:pt idx="32">
                  <c:v>12849</c:v>
                </c:pt>
                <c:pt idx="33">
                  <c:v>12849.5</c:v>
                </c:pt>
                <c:pt idx="34">
                  <c:v>12851.5</c:v>
                </c:pt>
                <c:pt idx="35">
                  <c:v>12852</c:v>
                </c:pt>
                <c:pt idx="36">
                  <c:v>13878</c:v>
                </c:pt>
                <c:pt idx="37">
                  <c:v>14796</c:v>
                </c:pt>
                <c:pt idx="38">
                  <c:v>19276</c:v>
                </c:pt>
                <c:pt idx="39">
                  <c:v>20098.5</c:v>
                </c:pt>
                <c:pt idx="40">
                  <c:v>20419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7">
                  <c:v>3.5504117680183064E-2</c:v>
                </c:pt>
                <c:pt idx="10">
                  <c:v>2.7839987501031317E-2</c:v>
                </c:pt>
                <c:pt idx="11">
                  <c:v>2.7484250615484311E-2</c:v>
                </c:pt>
                <c:pt idx="15">
                  <c:v>1.9980096787229441E-2</c:v>
                </c:pt>
                <c:pt idx="27">
                  <c:v>3.9698319856287245E-3</c:v>
                </c:pt>
                <c:pt idx="28">
                  <c:v>3.9593072257012932E-3</c:v>
                </c:pt>
                <c:pt idx="29">
                  <c:v>1.1891904128027223E-3</c:v>
                </c:pt>
                <c:pt idx="30">
                  <c:v>1.1891904128027223E-3</c:v>
                </c:pt>
                <c:pt idx="31">
                  <c:v>1.3671442006010087E-4</c:v>
                </c:pt>
                <c:pt idx="32">
                  <c:v>-3.4143395794534945E-3</c:v>
                </c:pt>
                <c:pt idx="33">
                  <c:v>-3.4164445314389738E-3</c:v>
                </c:pt>
                <c:pt idx="34">
                  <c:v>-3.4248643393809189E-3</c:v>
                </c:pt>
                <c:pt idx="35">
                  <c:v>-3.4269692913664052E-3</c:v>
                </c:pt>
                <c:pt idx="36">
                  <c:v>-7.7463307655821073E-3</c:v>
                </c:pt>
                <c:pt idx="37">
                  <c:v>-1.1611022610933004E-2</c:v>
                </c:pt>
                <c:pt idx="38">
                  <c:v>-3.0471392400880738E-2</c:v>
                </c:pt>
                <c:pt idx="39">
                  <c:v>-3.3934038417003952E-2</c:v>
                </c:pt>
                <c:pt idx="40">
                  <c:v>-3.5283312639699992E-2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54-47D1-BE11-AAD9612CE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843592"/>
        <c:axId val="1"/>
      </c:scatterChart>
      <c:valAx>
        <c:axId val="790843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37762237762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843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79720279720279"/>
          <c:y val="0.92024539877300615"/>
          <c:w val="0.7097902097902097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0</xdr:rowOff>
    </xdr:from>
    <xdr:to>
      <xdr:col>17</xdr:col>
      <xdr:colOff>638174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158D35-FF41-9D34-180A-CF5591ADF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341" TargetMode="External"/><Relationship Id="rId21" Type="http://schemas.openxmlformats.org/officeDocument/2006/relationships/hyperlink" Target="http://www.konkoly.hu/cgi-bin/IBVS?5980" TargetMode="External"/><Relationship Id="rId34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vsolj.cetus-net.org/no43.pdf" TargetMode="External"/><Relationship Id="rId12" Type="http://schemas.openxmlformats.org/officeDocument/2006/relationships/hyperlink" Target="http://www.konkoly.hu/cgi-bin/IBVS?5814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6044" TargetMode="External"/><Relationship Id="rId33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341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980" TargetMode="External"/><Relationship Id="rId29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668" TargetMode="External"/><Relationship Id="rId11" Type="http://schemas.openxmlformats.org/officeDocument/2006/relationships/hyperlink" Target="http://vsolj.cetus-net.org/no45.pdf" TargetMode="External"/><Relationship Id="rId24" Type="http://schemas.openxmlformats.org/officeDocument/2006/relationships/hyperlink" Target="http://www.konkoly.hu/cgi-bin/IBVS?6044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380" TargetMode="External"/><Relationship Id="rId15" Type="http://schemas.openxmlformats.org/officeDocument/2006/relationships/hyperlink" Target="http://vsolj.cetus-net.org/no48.pdf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5380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konkoly.hu/cgi-bin/IBVS?5980" TargetMode="External"/><Relationship Id="rId27" Type="http://schemas.openxmlformats.org/officeDocument/2006/relationships/hyperlink" Target="http://www.konkoly.hu/cgi-bin/IBVS?6044" TargetMode="External"/><Relationship Id="rId30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9"/>
  <sheetViews>
    <sheetView tabSelected="1" workbookViewId="0">
      <pane xSplit="13" ySplit="22" topLeftCell="N42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5.140625" customWidth="1"/>
    <col min="5" max="5" width="10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6" ht="20.25" x14ac:dyDescent="0.3">
      <c r="A1" s="1" t="s">
        <v>37</v>
      </c>
      <c r="D1" s="5"/>
    </row>
    <row r="2" spans="1:26" s="3" customFormat="1" ht="12.95" customHeight="1" x14ac:dyDescent="0.2">
      <c r="A2" s="3" t="s">
        <v>23</v>
      </c>
      <c r="B2" s="3" t="s">
        <v>36</v>
      </c>
      <c r="C2" s="21" t="s">
        <v>32</v>
      </c>
    </row>
    <row r="3" spans="1:26" s="3" customFormat="1" ht="12.95" customHeight="1" thickBot="1" x14ac:dyDescent="0.25">
      <c r="C3" s="22" t="s">
        <v>46</v>
      </c>
      <c r="R3" s="23"/>
      <c r="S3" s="23"/>
    </row>
    <row r="4" spans="1:26" s="3" customFormat="1" ht="12.95" customHeight="1" thickTop="1" thickBot="1" x14ac:dyDescent="0.25">
      <c r="A4" s="24" t="s">
        <v>0</v>
      </c>
      <c r="C4" s="25" t="s">
        <v>30</v>
      </c>
      <c r="D4" s="26" t="s">
        <v>30</v>
      </c>
      <c r="E4" s="27" t="s">
        <v>57</v>
      </c>
    </row>
    <row r="5" spans="1:26" s="3" customFormat="1" ht="12.95" customHeight="1" thickTop="1" x14ac:dyDescent="0.2">
      <c r="A5" s="28" t="s">
        <v>40</v>
      </c>
      <c r="C5" s="22">
        <v>-9.5</v>
      </c>
      <c r="D5" s="3" t="s">
        <v>41</v>
      </c>
    </row>
    <row r="6" spans="1:26" s="3" customFormat="1" ht="12.95" customHeight="1" x14ac:dyDescent="0.2">
      <c r="A6" s="24" t="s">
        <v>1</v>
      </c>
    </row>
    <row r="7" spans="1:26" s="3" customFormat="1" ht="12.95" customHeight="1" x14ac:dyDescent="0.2">
      <c r="A7" s="3" t="s">
        <v>2</v>
      </c>
      <c r="C7" s="3">
        <v>51718.397900000004</v>
      </c>
      <c r="D7" s="24" t="s">
        <v>25</v>
      </c>
    </row>
    <row r="8" spans="1:26" s="3" customFormat="1" ht="12.95" customHeight="1" x14ac:dyDescent="0.2">
      <c r="A8" s="3" t="s">
        <v>3</v>
      </c>
      <c r="C8" s="3">
        <v>0.38999780000000001</v>
      </c>
      <c r="D8" s="29" t="s">
        <v>26</v>
      </c>
    </row>
    <row r="9" spans="1:26" s="3" customFormat="1" ht="12.95" customHeight="1" x14ac:dyDescent="0.2">
      <c r="A9" s="30" t="s">
        <v>47</v>
      </c>
      <c r="B9" s="31">
        <v>46</v>
      </c>
      <c r="C9" s="32" t="str">
        <f>"F"&amp;B9</f>
        <v>F46</v>
      </c>
      <c r="D9" s="33" t="str">
        <f>"G"&amp;B9</f>
        <v>G46</v>
      </c>
    </row>
    <row r="10" spans="1:26" s="3" customFormat="1" ht="12.95" customHeight="1" thickBot="1" x14ac:dyDescent="0.25">
      <c r="C10" s="34" t="s">
        <v>19</v>
      </c>
      <c r="D10" s="34" t="s">
        <v>20</v>
      </c>
    </row>
    <row r="11" spans="1:26" s="3" customFormat="1" ht="12.95" customHeight="1" x14ac:dyDescent="0.2">
      <c r="A11" s="3" t="s">
        <v>15</v>
      </c>
      <c r="C11" s="33">
        <f ca="1">INTERCEPT(INDIRECT($D$9):G992,INDIRECT($C$9):F992)</f>
        <v>5.0678716543546144E-2</v>
      </c>
      <c r="D11" s="35"/>
      <c r="R11" s="36"/>
      <c r="S11" s="36"/>
      <c r="T11" s="36"/>
      <c r="U11" s="36"/>
      <c r="V11" s="36"/>
      <c r="W11" s="36"/>
    </row>
    <row r="12" spans="1:26" s="3" customFormat="1" ht="12.95" customHeight="1" x14ac:dyDescent="0.2">
      <c r="A12" s="3" t="s">
        <v>16</v>
      </c>
      <c r="C12" s="33">
        <f ca="1">SLOPE(INDIRECT($D$9):G992,INDIRECT($C$9):F992)</f>
        <v>-4.2099039709704752E-6</v>
      </c>
      <c r="D12" s="35"/>
    </row>
    <row r="13" spans="1:26" s="3" customFormat="1" ht="12.95" customHeight="1" x14ac:dyDescent="0.2">
      <c r="A13" s="3" t="s">
        <v>18</v>
      </c>
      <c r="C13" s="35" t="s">
        <v>13</v>
      </c>
    </row>
    <row r="14" spans="1:26" s="3" customFormat="1" ht="12.95" customHeight="1" x14ac:dyDescent="0.2"/>
    <row r="15" spans="1:26" s="3" customFormat="1" ht="12.95" customHeight="1" x14ac:dyDescent="0.2">
      <c r="A15" s="37" t="s">
        <v>17</v>
      </c>
      <c r="C15" s="38">
        <f ca="1">(C7+C11)+(C8+C12)*INT(MAX(F21:F3533))</f>
        <v>59681.727694887362</v>
      </c>
      <c r="E15" s="27" t="s">
        <v>49</v>
      </c>
      <c r="F15" s="22">
        <v>1</v>
      </c>
    </row>
    <row r="16" spans="1:26" s="3" customFormat="1" ht="12.95" customHeight="1" x14ac:dyDescent="0.2">
      <c r="A16" s="24" t="s">
        <v>4</v>
      </c>
      <c r="C16" s="39">
        <f ca="1">+C8+C12</f>
        <v>0.38999359009602902</v>
      </c>
      <c r="E16" s="27" t="s">
        <v>42</v>
      </c>
      <c r="F16" s="40">
        <f ca="1">NOW()+15018.5+$C$5/24</f>
        <v>60313.82196400463</v>
      </c>
      <c r="R16" s="36"/>
      <c r="S16" s="36"/>
      <c r="T16" s="36"/>
      <c r="U16" s="36"/>
      <c r="V16" s="36"/>
      <c r="W16" s="36"/>
      <c r="X16" s="36"/>
      <c r="Y16" s="36"/>
      <c r="Z16" s="36"/>
    </row>
    <row r="17" spans="1:18" s="3" customFormat="1" ht="12.95" customHeight="1" thickBot="1" x14ac:dyDescent="0.25">
      <c r="A17" s="27" t="s">
        <v>44</v>
      </c>
      <c r="C17" s="3">
        <f>COUNT(C21:C2191)</f>
        <v>41</v>
      </c>
      <c r="E17" s="27" t="s">
        <v>50</v>
      </c>
      <c r="F17" s="40">
        <f ca="1">ROUND(2*(F16-$C$7)/$C$8,0)/2+F15</f>
        <v>22040.5</v>
      </c>
    </row>
    <row r="18" spans="1:18" s="3" customFormat="1" ht="12.95" customHeight="1" thickTop="1" thickBot="1" x14ac:dyDescent="0.25">
      <c r="A18" s="24" t="s">
        <v>5</v>
      </c>
      <c r="C18" s="41">
        <f ca="1">+C15</f>
        <v>59681.727694887362</v>
      </c>
      <c r="D18" s="42">
        <f ca="1">+C16</f>
        <v>0.38999359009602902</v>
      </c>
      <c r="E18" s="27" t="s">
        <v>43</v>
      </c>
      <c r="F18" s="33">
        <f ca="1">ROUND(2*(F16-$C$15)/$C$16,0)/2+F15</f>
        <v>1622</v>
      </c>
    </row>
    <row r="19" spans="1:18" s="3" customFormat="1" ht="12.95" customHeight="1" thickTop="1" x14ac:dyDescent="0.2">
      <c r="E19" s="27" t="s">
        <v>45</v>
      </c>
      <c r="F19" s="43">
        <f ca="1">+$C$15+$C$16*F18-15018.5-$C$5/24</f>
        <v>45296.193131356456</v>
      </c>
      <c r="R19" s="3">
        <f ca="1">SUM(R22:R39)</f>
        <v>2.9835880178793236E-3</v>
      </c>
    </row>
    <row r="20" spans="1:18" s="3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4" t="s">
        <v>65</v>
      </c>
      <c r="I20" s="44" t="s">
        <v>68</v>
      </c>
      <c r="J20" s="44" t="s">
        <v>62</v>
      </c>
      <c r="K20" s="44" t="s">
        <v>60</v>
      </c>
      <c r="L20" s="44" t="s">
        <v>208</v>
      </c>
      <c r="M20" s="44" t="s">
        <v>209</v>
      </c>
      <c r="N20" s="44" t="s">
        <v>210</v>
      </c>
      <c r="O20" s="44" t="s">
        <v>22</v>
      </c>
      <c r="P20" s="45" t="s">
        <v>21</v>
      </c>
      <c r="Q20" s="34" t="s">
        <v>14</v>
      </c>
    </row>
    <row r="21" spans="1:18" s="57" customFormat="1" ht="12.95" customHeight="1" x14ac:dyDescent="0.2">
      <c r="A21" s="57" t="s">
        <v>31</v>
      </c>
      <c r="B21" s="58" t="s">
        <v>29</v>
      </c>
      <c r="C21" s="59">
        <v>47868.3488</v>
      </c>
      <c r="D21" s="59" t="s">
        <v>13</v>
      </c>
      <c r="E21" s="57">
        <f t="shared" ref="E21:E58" si="0">+(C21-C$7)/C$8</f>
        <v>-9871.9764573031025</v>
      </c>
      <c r="F21" s="57">
        <f t="shared" ref="F21:F59" si="1">ROUND(2*E21,0)/2</f>
        <v>-9872</v>
      </c>
      <c r="G21" s="57">
        <f t="shared" ref="G21:G58" si="2">+C21-(C$7+F21*C$8)</f>
        <v>9.1815999985556118E-3</v>
      </c>
      <c r="H21" s="57">
        <f>G21</f>
        <v>9.1815999985556118E-3</v>
      </c>
      <c r="Q21" s="60">
        <f t="shared" ref="Q21:Q58" si="3">+C21-15018.5</f>
        <v>32849.8488</v>
      </c>
    </row>
    <row r="22" spans="1:18" s="57" customFormat="1" ht="12.95" customHeight="1" x14ac:dyDescent="0.2">
      <c r="A22" s="57" t="s">
        <v>24</v>
      </c>
      <c r="B22" s="58"/>
      <c r="C22" s="61">
        <v>51718.397900000004</v>
      </c>
      <c r="D22" s="61"/>
      <c r="E22" s="57">
        <f t="shared" si="0"/>
        <v>0</v>
      </c>
      <c r="F22" s="57">
        <f t="shared" si="1"/>
        <v>0</v>
      </c>
      <c r="G22" s="57">
        <f t="shared" si="2"/>
        <v>0</v>
      </c>
      <c r="H22" s="57">
        <f>+G22</f>
        <v>0</v>
      </c>
      <c r="Q22" s="60">
        <f t="shared" si="3"/>
        <v>36699.897900000004</v>
      </c>
      <c r="R22" s="57">
        <f t="shared" ref="R22:R58" si="4">(O22-G22)^2</f>
        <v>0</v>
      </c>
    </row>
    <row r="23" spans="1:18" s="57" customFormat="1" ht="12.95" customHeight="1" x14ac:dyDescent="0.2">
      <c r="A23" s="57" t="s">
        <v>28</v>
      </c>
      <c r="B23" s="58" t="s">
        <v>27</v>
      </c>
      <c r="C23" s="61">
        <v>52043.459300000002</v>
      </c>
      <c r="D23" s="61">
        <v>2.9999999999999997E-4</v>
      </c>
      <c r="E23" s="57">
        <f t="shared" si="0"/>
        <v>833.49547100008942</v>
      </c>
      <c r="F23" s="57">
        <f t="shared" si="1"/>
        <v>833.5</v>
      </c>
      <c r="G23" s="57">
        <f t="shared" si="2"/>
        <v>-1.7663000035099685E-3</v>
      </c>
      <c r="J23" s="57">
        <f>+G23</f>
        <v>-1.7663000035099685E-3</v>
      </c>
      <c r="Q23" s="60">
        <f t="shared" si="3"/>
        <v>37024.959300000002</v>
      </c>
      <c r="R23" s="57">
        <f t="shared" si="4"/>
        <v>3.1198157023993148E-6</v>
      </c>
    </row>
    <row r="24" spans="1:18" s="57" customFormat="1" ht="12.95" customHeight="1" x14ac:dyDescent="0.2">
      <c r="A24" s="57" t="s">
        <v>28</v>
      </c>
      <c r="B24" s="58" t="s">
        <v>29</v>
      </c>
      <c r="C24" s="61">
        <v>52053.409500000002</v>
      </c>
      <c r="D24" s="61">
        <v>2.0000000000000001E-4</v>
      </c>
      <c r="E24" s="57">
        <f t="shared" si="0"/>
        <v>859.00894825560044</v>
      </c>
      <c r="F24" s="57">
        <f t="shared" si="1"/>
        <v>859</v>
      </c>
      <c r="G24" s="57">
        <f t="shared" si="2"/>
        <v>3.4898000012617558E-3</v>
      </c>
      <c r="J24" s="57">
        <f>+G24</f>
        <v>3.4898000012617558E-3</v>
      </c>
      <c r="Q24" s="60">
        <f t="shared" si="3"/>
        <v>37034.909500000002</v>
      </c>
      <c r="R24" s="57">
        <f t="shared" si="4"/>
        <v>1.217870404880655E-5</v>
      </c>
    </row>
    <row r="25" spans="1:18" s="57" customFormat="1" ht="12.95" customHeight="1" x14ac:dyDescent="0.2">
      <c r="A25" s="57" t="s">
        <v>24</v>
      </c>
      <c r="B25" s="58" t="s">
        <v>27</v>
      </c>
      <c r="C25" s="61">
        <v>52400.313300000002</v>
      </c>
      <c r="D25" s="61">
        <v>1.1000000000000001E-3</v>
      </c>
      <c r="E25" s="57">
        <f t="shared" si="0"/>
        <v>1748.5108890357792</v>
      </c>
      <c r="F25" s="57">
        <f t="shared" si="1"/>
        <v>1748.5</v>
      </c>
      <c r="G25" s="57">
        <f t="shared" si="2"/>
        <v>4.2466999948373996E-3</v>
      </c>
      <c r="K25" s="57">
        <f>+G25</f>
        <v>4.2466999948373996E-3</v>
      </c>
      <c r="Q25" s="60">
        <f t="shared" si="3"/>
        <v>37381.813300000002</v>
      </c>
      <c r="R25" s="57">
        <f t="shared" si="4"/>
        <v>1.8034460846151971E-5</v>
      </c>
    </row>
    <row r="26" spans="1:18" s="57" customFormat="1" ht="12.95" customHeight="1" x14ac:dyDescent="0.2">
      <c r="A26" s="57" t="s">
        <v>24</v>
      </c>
      <c r="B26" s="58" t="s">
        <v>29</v>
      </c>
      <c r="C26" s="61">
        <v>52400.491499999996</v>
      </c>
      <c r="D26" s="61">
        <v>8.9999999999999998E-4</v>
      </c>
      <c r="E26" s="57">
        <f t="shared" si="0"/>
        <v>1748.9678146902183</v>
      </c>
      <c r="F26" s="57">
        <f t="shared" si="1"/>
        <v>1749</v>
      </c>
      <c r="G26" s="57">
        <f t="shared" si="2"/>
        <v>-1.2552200008940417E-2</v>
      </c>
      <c r="K26" s="57">
        <f>+G26</f>
        <v>-1.2552200008940417E-2</v>
      </c>
      <c r="Q26" s="60">
        <f t="shared" si="3"/>
        <v>37381.991499999996</v>
      </c>
      <c r="R26" s="57">
        <f t="shared" si="4"/>
        <v>1.5755772506444382E-4</v>
      </c>
    </row>
    <row r="27" spans="1:18" s="57" customFormat="1" ht="12.95" customHeight="1" x14ac:dyDescent="0.2">
      <c r="A27" s="57" t="s">
        <v>35</v>
      </c>
      <c r="B27" s="62" t="s">
        <v>27</v>
      </c>
      <c r="C27" s="63">
        <v>53104.450400000002</v>
      </c>
      <c r="D27" s="63">
        <v>2.9999999999999997E-4</v>
      </c>
      <c r="E27" s="57">
        <f t="shared" si="0"/>
        <v>3554.0008174405034</v>
      </c>
      <c r="F27" s="57">
        <f t="shared" si="1"/>
        <v>3554</v>
      </c>
      <c r="G27" s="57">
        <f t="shared" si="2"/>
        <v>3.1879999733064324E-4</v>
      </c>
      <c r="K27" s="57">
        <f>+G27</f>
        <v>3.1879999733064324E-4</v>
      </c>
      <c r="Q27" s="60">
        <f t="shared" si="3"/>
        <v>38085.950400000002</v>
      </c>
      <c r="R27" s="57">
        <f t="shared" si="4"/>
        <v>1.0163343829801813E-7</v>
      </c>
    </row>
    <row r="28" spans="1:18" s="57" customFormat="1" ht="12.95" customHeight="1" x14ac:dyDescent="0.2">
      <c r="A28" s="46" t="s">
        <v>96</v>
      </c>
      <c r="B28" s="47" t="s">
        <v>27</v>
      </c>
      <c r="C28" s="46">
        <v>53124.142200000002</v>
      </c>
      <c r="D28" s="46" t="s">
        <v>68</v>
      </c>
      <c r="E28" s="57">
        <f t="shared" si="0"/>
        <v>3604.4928971394156</v>
      </c>
      <c r="F28" s="57">
        <f t="shared" si="1"/>
        <v>3604.5</v>
      </c>
      <c r="G28" s="57">
        <f t="shared" si="2"/>
        <v>-2.7700999999069609E-3</v>
      </c>
      <c r="K28" s="57">
        <f>+G28</f>
        <v>-2.7700999999069609E-3</v>
      </c>
      <c r="O28" s="57">
        <f ca="1">+C$11+C$12*$F28</f>
        <v>3.5504117680183064E-2</v>
      </c>
      <c r="Q28" s="60">
        <f t="shared" si="3"/>
        <v>38105.642200000002</v>
      </c>
      <c r="R28" s="57">
        <f t="shared" ca="1" si="4"/>
        <v>1.4649157390229158E-3</v>
      </c>
    </row>
    <row r="29" spans="1:18" s="57" customFormat="1" ht="12.95" customHeight="1" x14ac:dyDescent="0.2">
      <c r="A29" s="61" t="s">
        <v>33</v>
      </c>
      <c r="B29" s="58" t="s">
        <v>29</v>
      </c>
      <c r="C29" s="61">
        <v>53149.299400000004</v>
      </c>
      <c r="D29" s="61">
        <v>2.9999999999999997E-4</v>
      </c>
      <c r="E29" s="57">
        <f t="shared" si="0"/>
        <v>3668.9989020450885</v>
      </c>
      <c r="F29" s="57">
        <f t="shared" si="1"/>
        <v>3669</v>
      </c>
      <c r="G29" s="57">
        <f t="shared" si="2"/>
        <v>-4.282000008970499E-4</v>
      </c>
      <c r="K29" s="57">
        <f>+G29</f>
        <v>-4.282000008970499E-4</v>
      </c>
      <c r="Q29" s="60">
        <f t="shared" si="3"/>
        <v>38130.799400000004</v>
      </c>
      <c r="R29" s="57">
        <f t="shared" si="4"/>
        <v>1.8335524076823354E-7</v>
      </c>
    </row>
    <row r="30" spans="1:18" s="57" customFormat="1" ht="12.95" customHeight="1" x14ac:dyDescent="0.2">
      <c r="A30" s="57" t="s">
        <v>34</v>
      </c>
      <c r="B30" s="62"/>
      <c r="C30" s="61">
        <v>53455.439899999998</v>
      </c>
      <c r="D30" s="61">
        <v>2.7000000000000001E-3</v>
      </c>
      <c r="E30" s="57">
        <f t="shared" si="0"/>
        <v>4453.9789711634112</v>
      </c>
      <c r="F30" s="57">
        <f t="shared" si="1"/>
        <v>4454</v>
      </c>
      <c r="G30" s="57">
        <f t="shared" si="2"/>
        <v>-8.2012000057147816E-3</v>
      </c>
      <c r="J30" s="57">
        <f>+G30</f>
        <v>-8.2012000057147816E-3</v>
      </c>
      <c r="Q30" s="60">
        <f t="shared" si="3"/>
        <v>38436.939899999998</v>
      </c>
      <c r="R30" s="57">
        <f t="shared" si="4"/>
        <v>6.7259681533736132E-5</v>
      </c>
    </row>
    <row r="31" spans="1:18" s="57" customFormat="1" ht="12.95" customHeight="1" x14ac:dyDescent="0.2">
      <c r="A31" s="46" t="s">
        <v>112</v>
      </c>
      <c r="B31" s="47" t="s">
        <v>29</v>
      </c>
      <c r="C31" s="46">
        <v>53834.134700000002</v>
      </c>
      <c r="D31" s="46" t="s">
        <v>68</v>
      </c>
      <c r="E31" s="57">
        <f t="shared" si="0"/>
        <v>5424.9967563919563</v>
      </c>
      <c r="F31" s="57">
        <f t="shared" si="1"/>
        <v>5425</v>
      </c>
      <c r="G31" s="57">
        <f t="shared" si="2"/>
        <v>-1.2649999989662319E-3</v>
      </c>
      <c r="K31" s="57">
        <f>+G31</f>
        <v>-1.2649999989662319E-3</v>
      </c>
      <c r="O31" s="57">
        <f ca="1">+C$11+C$12*$F31</f>
        <v>2.7839987501031317E-2</v>
      </c>
      <c r="Q31" s="60">
        <f t="shared" si="3"/>
        <v>38815.634700000002</v>
      </c>
      <c r="R31" s="57">
        <f t="shared" ca="1" si="4"/>
        <v>8.4710029737501355E-4</v>
      </c>
    </row>
    <row r="32" spans="1:18" s="57" customFormat="1" ht="12.95" customHeight="1" x14ac:dyDescent="0.2">
      <c r="A32" s="46" t="s">
        <v>112</v>
      </c>
      <c r="B32" s="47" t="s">
        <v>27</v>
      </c>
      <c r="C32" s="46">
        <v>53867.105799999998</v>
      </c>
      <c r="D32" s="46" t="s">
        <v>68</v>
      </c>
      <c r="E32" s="57">
        <f t="shared" si="0"/>
        <v>5509.5385153454554</v>
      </c>
      <c r="F32" s="57">
        <f t="shared" si="1"/>
        <v>5509.5</v>
      </c>
      <c r="G32" s="57">
        <f t="shared" si="2"/>
        <v>1.502089999121381E-2</v>
      </c>
      <c r="K32" s="57">
        <f>+G32</f>
        <v>1.502089999121381E-2</v>
      </c>
      <c r="O32" s="57">
        <f ca="1">+C$11+C$12*$F32</f>
        <v>2.7484250615484311E-2</v>
      </c>
      <c r="Q32" s="60">
        <f t="shared" si="3"/>
        <v>38848.605799999998</v>
      </c>
      <c r="R32" s="57">
        <f t="shared" ca="1" si="4"/>
        <v>1.553351087835039E-4</v>
      </c>
    </row>
    <row r="33" spans="1:18" s="57" customFormat="1" ht="12.95" customHeight="1" x14ac:dyDescent="0.2">
      <c r="A33" s="48" t="s">
        <v>39</v>
      </c>
      <c r="B33" s="62" t="s">
        <v>29</v>
      </c>
      <c r="C33" s="63">
        <v>53885.614999999998</v>
      </c>
      <c r="D33" s="63">
        <v>2.0000000000000001E-4</v>
      </c>
      <c r="E33" s="57">
        <f t="shared" si="0"/>
        <v>5556.9982702466386</v>
      </c>
      <c r="F33" s="57">
        <f t="shared" si="1"/>
        <v>5557</v>
      </c>
      <c r="G33" s="57">
        <f t="shared" si="2"/>
        <v>-6.7460000718710944E-4</v>
      </c>
      <c r="K33" s="57">
        <f>+G33</f>
        <v>-6.7460000718710944E-4</v>
      </c>
      <c r="Q33" s="60">
        <f t="shared" si="3"/>
        <v>38867.114999999998</v>
      </c>
      <c r="R33" s="57">
        <f t="shared" si="4"/>
        <v>4.5508516969684811E-7</v>
      </c>
    </row>
    <row r="34" spans="1:18" s="57" customFormat="1" ht="12.95" customHeight="1" x14ac:dyDescent="0.2">
      <c r="A34" s="49" t="s">
        <v>38</v>
      </c>
      <c r="B34" s="50"/>
      <c r="C34" s="49">
        <v>54221.413500000002</v>
      </c>
      <c r="D34" s="49">
        <v>5.7999999999999996E-3</v>
      </c>
      <c r="E34" s="57">
        <f t="shared" si="0"/>
        <v>6418.0249221918657</v>
      </c>
      <c r="F34" s="57">
        <f t="shared" si="1"/>
        <v>6418</v>
      </c>
      <c r="G34" s="57">
        <f t="shared" si="2"/>
        <v>9.7195999987889081E-3</v>
      </c>
      <c r="J34" s="57">
        <f>+G34</f>
        <v>9.7195999987889081E-3</v>
      </c>
      <c r="Q34" s="60">
        <f t="shared" si="3"/>
        <v>39202.913500000002</v>
      </c>
      <c r="R34" s="57">
        <f t="shared" si="4"/>
        <v>9.4470624136457342E-5</v>
      </c>
    </row>
    <row r="35" spans="1:18" s="57" customFormat="1" ht="12.95" customHeight="1" x14ac:dyDescent="0.2">
      <c r="A35" s="51" t="s">
        <v>48</v>
      </c>
      <c r="B35" s="50" t="s">
        <v>27</v>
      </c>
      <c r="C35" s="51">
        <v>54305.4473</v>
      </c>
      <c r="D35" s="51">
        <v>2.9999999999999997E-4</v>
      </c>
      <c r="E35" s="57">
        <f t="shared" si="0"/>
        <v>6633.4974197290248</v>
      </c>
      <c r="F35" s="57">
        <f t="shared" si="1"/>
        <v>6633.5</v>
      </c>
      <c r="G35" s="57">
        <f t="shared" si="2"/>
        <v>-1.0063000008813106E-3</v>
      </c>
      <c r="K35" s="57">
        <f t="shared" ref="K35:K43" si="5">+G35</f>
        <v>-1.0063000008813106E-3</v>
      </c>
      <c r="Q35" s="60">
        <f t="shared" si="3"/>
        <v>39286.9473</v>
      </c>
      <c r="R35" s="57">
        <f t="shared" si="4"/>
        <v>1.0126396917737256E-6</v>
      </c>
    </row>
    <row r="36" spans="1:18" s="57" customFormat="1" ht="12.95" customHeight="1" x14ac:dyDescent="0.2">
      <c r="A36" s="46" t="s">
        <v>137</v>
      </c>
      <c r="B36" s="47" t="s">
        <v>29</v>
      </c>
      <c r="C36" s="46">
        <v>54562.271200000003</v>
      </c>
      <c r="D36" s="46" t="s">
        <v>68</v>
      </c>
      <c r="E36" s="57">
        <f t="shared" si="0"/>
        <v>7292.0239550069236</v>
      </c>
      <c r="F36" s="57">
        <f t="shared" si="1"/>
        <v>7292</v>
      </c>
      <c r="G36" s="57">
        <f t="shared" si="2"/>
        <v>9.3424000006052665E-3</v>
      </c>
      <c r="K36" s="57">
        <f t="shared" si="5"/>
        <v>9.3424000006052665E-3</v>
      </c>
      <c r="O36" s="57">
        <f ca="1">+C$11+C$12*$F36</f>
        <v>1.9980096787229441E-2</v>
      </c>
      <c r="Q36" s="60">
        <f t="shared" si="3"/>
        <v>39543.771200000003</v>
      </c>
      <c r="R36" s="57">
        <f t="shared" ca="1" si="4"/>
        <v>1.1316059292415428E-4</v>
      </c>
    </row>
    <row r="37" spans="1:18" s="57" customFormat="1" ht="12.95" customHeight="1" x14ac:dyDescent="0.2">
      <c r="A37" s="51" t="s">
        <v>48</v>
      </c>
      <c r="B37" s="50" t="s">
        <v>29</v>
      </c>
      <c r="C37" s="51">
        <v>54581.378499999999</v>
      </c>
      <c r="D37" s="51">
        <v>2.9999999999999997E-4</v>
      </c>
      <c r="E37" s="57">
        <f t="shared" si="0"/>
        <v>7341.017308302753</v>
      </c>
      <c r="F37" s="57">
        <f t="shared" si="1"/>
        <v>7341</v>
      </c>
      <c r="G37" s="57">
        <f t="shared" si="2"/>
        <v>6.7501999947126023E-3</v>
      </c>
      <c r="K37" s="57">
        <f t="shared" si="5"/>
        <v>6.7501999947126023E-3</v>
      </c>
      <c r="Q37" s="60">
        <f t="shared" si="3"/>
        <v>39562.878499999999</v>
      </c>
      <c r="R37" s="57">
        <f t="shared" si="4"/>
        <v>4.5565199968618014E-5</v>
      </c>
    </row>
    <row r="38" spans="1:18" s="57" customFormat="1" ht="12.95" customHeight="1" x14ac:dyDescent="0.2">
      <c r="A38" s="51" t="s">
        <v>48</v>
      </c>
      <c r="B38" s="50" t="s">
        <v>27</v>
      </c>
      <c r="C38" s="51">
        <v>54581.565399999999</v>
      </c>
      <c r="D38" s="51">
        <v>6.9999999999999999E-4</v>
      </c>
      <c r="E38" s="57">
        <f t="shared" si="0"/>
        <v>7341.4965417753538</v>
      </c>
      <c r="F38" s="57">
        <f t="shared" si="1"/>
        <v>7341.5</v>
      </c>
      <c r="G38" s="57">
        <f t="shared" si="2"/>
        <v>-1.3487000032910146E-3</v>
      </c>
      <c r="K38" s="57">
        <f t="shared" si="5"/>
        <v>-1.3487000032910146E-3</v>
      </c>
      <c r="Q38" s="60">
        <f t="shared" si="3"/>
        <v>39563.065399999999</v>
      </c>
      <c r="R38" s="57">
        <f t="shared" si="4"/>
        <v>1.8189916988771827E-6</v>
      </c>
    </row>
    <row r="39" spans="1:18" s="57" customFormat="1" ht="12.95" customHeight="1" x14ac:dyDescent="0.2">
      <c r="A39" s="51" t="s">
        <v>48</v>
      </c>
      <c r="B39" s="50" t="s">
        <v>29</v>
      </c>
      <c r="C39" s="51">
        <v>54616.472699999998</v>
      </c>
      <c r="D39" s="51">
        <v>2.9999999999999997E-4</v>
      </c>
      <c r="E39" s="57">
        <f t="shared" si="0"/>
        <v>7431.0029441191591</v>
      </c>
      <c r="F39" s="57">
        <f t="shared" si="1"/>
        <v>7431</v>
      </c>
      <c r="G39" s="57">
        <f t="shared" si="2"/>
        <v>1.1481999972602352E-3</v>
      </c>
      <c r="K39" s="57">
        <f t="shared" si="5"/>
        <v>1.1481999972602352E-3</v>
      </c>
      <c r="Q39" s="60">
        <f t="shared" si="3"/>
        <v>39597.972699999998</v>
      </c>
      <c r="R39" s="57">
        <f t="shared" si="4"/>
        <v>1.3183632337084042E-6</v>
      </c>
    </row>
    <row r="40" spans="1:18" s="57" customFormat="1" ht="12.95" customHeight="1" x14ac:dyDescent="0.2">
      <c r="A40" s="51" t="s">
        <v>48</v>
      </c>
      <c r="B40" s="50" t="s">
        <v>29</v>
      </c>
      <c r="C40" s="51">
        <v>54657.427199999998</v>
      </c>
      <c r="D40" s="51">
        <v>1E-4</v>
      </c>
      <c r="E40" s="57">
        <f t="shared" si="0"/>
        <v>7536.0150749568193</v>
      </c>
      <c r="F40" s="57">
        <f t="shared" si="1"/>
        <v>7536</v>
      </c>
      <c r="G40" s="57">
        <f t="shared" si="2"/>
        <v>5.8791999981622212E-3</v>
      </c>
      <c r="K40" s="57">
        <f t="shared" si="5"/>
        <v>5.8791999981622212E-3</v>
      </c>
      <c r="Q40" s="60">
        <f t="shared" si="3"/>
        <v>39638.927199999998</v>
      </c>
      <c r="R40" s="57">
        <f t="shared" si="4"/>
        <v>3.4564992618390664E-5</v>
      </c>
    </row>
    <row r="41" spans="1:18" s="57" customFormat="1" ht="12.95" customHeight="1" x14ac:dyDescent="0.2">
      <c r="A41" s="48" t="s">
        <v>51</v>
      </c>
      <c r="B41" s="50" t="s">
        <v>29</v>
      </c>
      <c r="C41" s="51">
        <v>55211.602899999998</v>
      </c>
      <c r="D41" s="51">
        <v>8.9999999999999998E-4</v>
      </c>
      <c r="E41" s="57">
        <f t="shared" si="0"/>
        <v>8956.9864240259667</v>
      </c>
      <c r="F41" s="57">
        <f t="shared" si="1"/>
        <v>8957</v>
      </c>
      <c r="G41" s="57">
        <f t="shared" si="2"/>
        <v>-5.2946000068914145E-3</v>
      </c>
      <c r="K41" s="57">
        <f t="shared" si="5"/>
        <v>-5.2946000068914145E-3</v>
      </c>
      <c r="Q41" s="60">
        <f t="shared" si="3"/>
        <v>40193.102899999998</v>
      </c>
      <c r="R41" s="57">
        <f t="shared" si="4"/>
        <v>2.8032789232974566E-5</v>
      </c>
    </row>
    <row r="42" spans="1:18" s="57" customFormat="1" ht="12.95" customHeight="1" x14ac:dyDescent="0.2">
      <c r="A42" s="48" t="s">
        <v>51</v>
      </c>
      <c r="B42" s="50" t="s">
        <v>29</v>
      </c>
      <c r="C42" s="51">
        <v>55272.449399999998</v>
      </c>
      <c r="D42" s="51">
        <v>2.0000000000000001E-4</v>
      </c>
      <c r="E42" s="57">
        <f t="shared" si="0"/>
        <v>9113.0039707916148</v>
      </c>
      <c r="F42" s="57">
        <f t="shared" si="1"/>
        <v>9113</v>
      </c>
      <c r="G42" s="57">
        <f t="shared" si="2"/>
        <v>1.5485999974771403E-3</v>
      </c>
      <c r="K42" s="57">
        <f t="shared" si="5"/>
        <v>1.5485999974771403E-3</v>
      </c>
      <c r="Q42" s="60">
        <f t="shared" si="3"/>
        <v>40253.949399999998</v>
      </c>
      <c r="R42" s="57">
        <f t="shared" si="4"/>
        <v>2.3981619521861988E-6</v>
      </c>
    </row>
    <row r="43" spans="1:18" s="57" customFormat="1" ht="12.95" customHeight="1" x14ac:dyDescent="0.2">
      <c r="A43" s="48" t="s">
        <v>51</v>
      </c>
      <c r="B43" s="50" t="s">
        <v>27</v>
      </c>
      <c r="C43" s="51">
        <v>55381.453699999998</v>
      </c>
      <c r="D43" s="51">
        <v>2.9999999999999997E-4</v>
      </c>
      <c r="E43" s="57">
        <f t="shared" si="0"/>
        <v>9392.5037525852567</v>
      </c>
      <c r="F43" s="57">
        <f t="shared" si="1"/>
        <v>9392.5</v>
      </c>
      <c r="G43" s="57">
        <f t="shared" si="2"/>
        <v>1.4634999970439821E-3</v>
      </c>
      <c r="K43" s="57">
        <f t="shared" si="5"/>
        <v>1.4634999970439821E-3</v>
      </c>
      <c r="Q43" s="60">
        <f t="shared" si="3"/>
        <v>40362.953699999998</v>
      </c>
      <c r="R43" s="57">
        <f t="shared" si="4"/>
        <v>2.1418322413477358E-6</v>
      </c>
    </row>
    <row r="44" spans="1:18" s="57" customFormat="1" ht="12.95" customHeight="1" x14ac:dyDescent="0.2">
      <c r="A44" s="49" t="s">
        <v>52</v>
      </c>
      <c r="B44" s="64" t="s">
        <v>29</v>
      </c>
      <c r="C44" s="49">
        <v>55627.541299999997</v>
      </c>
      <c r="D44" s="49">
        <v>7.4000000000000003E-3</v>
      </c>
      <c r="E44" s="57">
        <f t="shared" si="0"/>
        <v>10023.501158211646</v>
      </c>
      <c r="F44" s="57">
        <f t="shared" si="1"/>
        <v>10023.5</v>
      </c>
      <c r="G44" s="57">
        <f t="shared" si="2"/>
        <v>4.5169999066274613E-4</v>
      </c>
      <c r="J44" s="57">
        <f>+G44</f>
        <v>4.5169999066274613E-4</v>
      </c>
      <c r="Q44" s="60">
        <f t="shared" si="3"/>
        <v>40609.041299999997</v>
      </c>
      <c r="R44" s="57">
        <f t="shared" si="4"/>
        <v>2.0403288156472494E-7</v>
      </c>
    </row>
    <row r="45" spans="1:18" s="57" customFormat="1" ht="12.95" customHeight="1" x14ac:dyDescent="0.2">
      <c r="A45" s="56" t="s">
        <v>53</v>
      </c>
      <c r="B45" s="50" t="s">
        <v>29</v>
      </c>
      <c r="C45" s="51">
        <v>55644.515899999999</v>
      </c>
      <c r="D45" s="51">
        <v>2.9999999999999997E-4</v>
      </c>
      <c r="E45" s="57">
        <f t="shared" si="0"/>
        <v>10067.02601912112</v>
      </c>
      <c r="F45" s="57">
        <f t="shared" si="1"/>
        <v>10067</v>
      </c>
      <c r="G45" s="57">
        <f t="shared" si="2"/>
        <v>1.0147399996640161E-2</v>
      </c>
      <c r="K45" s="57">
        <f t="shared" ref="K45:K51" si="6">+G45</f>
        <v>1.0147399996640161E-2</v>
      </c>
      <c r="Q45" s="60">
        <f t="shared" si="3"/>
        <v>40626.015899999999</v>
      </c>
      <c r="R45" s="57">
        <f t="shared" si="4"/>
        <v>1.0296972669181273E-4</v>
      </c>
    </row>
    <row r="46" spans="1:18" s="57" customFormat="1" ht="12.95" customHeight="1" x14ac:dyDescent="0.2">
      <c r="A46" s="56" t="s">
        <v>53</v>
      </c>
      <c r="B46" s="50" t="s">
        <v>29</v>
      </c>
      <c r="C46" s="51">
        <v>55662.453500000003</v>
      </c>
      <c r="D46" s="51">
        <v>4.0000000000000002E-4</v>
      </c>
      <c r="E46" s="57">
        <f t="shared" si="0"/>
        <v>10113.020124728908</v>
      </c>
      <c r="F46" s="57">
        <f t="shared" si="1"/>
        <v>10113</v>
      </c>
      <c r="G46" s="57">
        <f t="shared" si="2"/>
        <v>7.8485999983968213E-3</v>
      </c>
      <c r="K46" s="57">
        <f t="shared" si="6"/>
        <v>7.8485999983968213E-3</v>
      </c>
      <c r="Q46" s="60">
        <f t="shared" si="3"/>
        <v>40643.953500000003</v>
      </c>
      <c r="R46" s="57">
        <f t="shared" si="4"/>
        <v>6.1600521934834578E-5</v>
      </c>
    </row>
    <row r="47" spans="1:18" s="57" customFormat="1" ht="12.95" customHeight="1" x14ac:dyDescent="0.2">
      <c r="A47" s="56" t="s">
        <v>53</v>
      </c>
      <c r="B47" s="50" t="s">
        <v>29</v>
      </c>
      <c r="C47" s="51">
        <v>56006.422400000003</v>
      </c>
      <c r="D47" s="51">
        <v>6.9999999999999999E-4</v>
      </c>
      <c r="E47" s="57">
        <f t="shared" si="0"/>
        <v>10994.996638442575</v>
      </c>
      <c r="F47" s="57">
        <f t="shared" si="1"/>
        <v>10995</v>
      </c>
      <c r="G47" s="57">
        <f t="shared" si="2"/>
        <v>-1.3109999999869615E-3</v>
      </c>
      <c r="K47" s="57">
        <f t="shared" si="6"/>
        <v>-1.3109999999869615E-3</v>
      </c>
      <c r="Q47" s="60">
        <f t="shared" si="3"/>
        <v>40987.922400000003</v>
      </c>
      <c r="R47" s="57">
        <f t="shared" si="4"/>
        <v>1.718720999965813E-6</v>
      </c>
    </row>
    <row r="48" spans="1:18" s="57" customFormat="1" ht="12.95" customHeight="1" x14ac:dyDescent="0.2">
      <c r="A48" s="56" t="s">
        <v>53</v>
      </c>
      <c r="B48" s="50" t="s">
        <v>29</v>
      </c>
      <c r="C48" s="51">
        <v>56045.417500000003</v>
      </c>
      <c r="D48" s="51">
        <v>1.2999999999999999E-3</v>
      </c>
      <c r="E48" s="57">
        <f t="shared" si="0"/>
        <v>11094.984638374883</v>
      </c>
      <c r="F48" s="57">
        <f t="shared" si="1"/>
        <v>11095</v>
      </c>
      <c r="G48" s="57">
        <f t="shared" si="2"/>
        <v>-5.9909999981755391E-3</v>
      </c>
      <c r="K48" s="57">
        <f t="shared" si="6"/>
        <v>-5.9909999981755391E-3</v>
      </c>
      <c r="O48" s="57">
        <f t="shared" ref="O48:O58" ca="1" si="7">+C$11+C$12*$F48</f>
        <v>3.9698319856287245E-3</v>
      </c>
      <c r="Q48" s="60">
        <f t="shared" si="3"/>
        <v>41026.917500000003</v>
      </c>
      <c r="R48" s="57">
        <f t="shared" ca="1" si="4"/>
        <v>9.9218173809577988E-5</v>
      </c>
    </row>
    <row r="49" spans="1:18" s="57" customFormat="1" ht="12.95" customHeight="1" x14ac:dyDescent="0.2">
      <c r="A49" s="56" t="s">
        <v>53</v>
      </c>
      <c r="B49" s="50" t="s">
        <v>27</v>
      </c>
      <c r="C49" s="51">
        <v>56046.401599999997</v>
      </c>
      <c r="D49" s="51">
        <v>8.0000000000000004E-4</v>
      </c>
      <c r="E49" s="57">
        <f t="shared" si="0"/>
        <v>11097.50798594247</v>
      </c>
      <c r="F49" s="57">
        <f t="shared" si="1"/>
        <v>11097.5</v>
      </c>
      <c r="G49" s="57">
        <f t="shared" si="2"/>
        <v>3.1144999957177788E-3</v>
      </c>
      <c r="K49" s="57">
        <f t="shared" si="6"/>
        <v>3.1144999957177788E-3</v>
      </c>
      <c r="O49" s="57">
        <f t="shared" ca="1" si="7"/>
        <v>3.9593072257012932E-3</v>
      </c>
      <c r="Q49" s="60">
        <f t="shared" si="3"/>
        <v>41027.901599999997</v>
      </c>
      <c r="R49" s="57">
        <f t="shared" ca="1" si="4"/>
        <v>7.1369925583241855E-7</v>
      </c>
    </row>
    <row r="50" spans="1:18" s="57" customFormat="1" ht="12.95" customHeight="1" x14ac:dyDescent="0.2">
      <c r="A50" s="52" t="s">
        <v>55</v>
      </c>
      <c r="B50" s="56"/>
      <c r="C50" s="49">
        <v>56303.021999999997</v>
      </c>
      <c r="D50" s="49">
        <v>2.0000000000000001E-4</v>
      </c>
      <c r="E50" s="57">
        <f t="shared" si="0"/>
        <v>11755.512723405091</v>
      </c>
      <c r="F50" s="57">
        <f t="shared" si="1"/>
        <v>11755.5</v>
      </c>
      <c r="G50" s="57">
        <f t="shared" si="2"/>
        <v>4.9620999925537035E-3</v>
      </c>
      <c r="K50" s="57">
        <f t="shared" si="6"/>
        <v>4.9620999925537035E-3</v>
      </c>
      <c r="O50" s="57">
        <f t="shared" ca="1" si="7"/>
        <v>1.1891904128027223E-3</v>
      </c>
      <c r="Q50" s="60">
        <f t="shared" si="3"/>
        <v>41284.521999999997</v>
      </c>
      <c r="R50" s="57">
        <f t="shared" ca="1" si="4"/>
        <v>1.4234846696976726E-5</v>
      </c>
    </row>
    <row r="51" spans="1:18" s="57" customFormat="1" ht="12.95" customHeight="1" x14ac:dyDescent="0.2">
      <c r="A51" s="49" t="s">
        <v>55</v>
      </c>
      <c r="B51" s="64" t="s">
        <v>27</v>
      </c>
      <c r="C51" s="49">
        <v>56303.021999999997</v>
      </c>
      <c r="D51" s="49">
        <v>2.0000000000000001E-4</v>
      </c>
      <c r="E51" s="57">
        <f t="shared" si="0"/>
        <v>11755.512723405091</v>
      </c>
      <c r="F51" s="57">
        <f t="shared" si="1"/>
        <v>11755.5</v>
      </c>
      <c r="G51" s="57">
        <f t="shared" si="2"/>
        <v>4.9620999925537035E-3</v>
      </c>
      <c r="K51" s="57">
        <f t="shared" si="6"/>
        <v>4.9620999925537035E-3</v>
      </c>
      <c r="O51" s="57">
        <f t="shared" ca="1" si="7"/>
        <v>1.1891904128027223E-3</v>
      </c>
      <c r="Q51" s="60">
        <f t="shared" si="3"/>
        <v>41284.521999999997</v>
      </c>
      <c r="R51" s="57">
        <f t="shared" ca="1" si="4"/>
        <v>1.4234846696976726E-5</v>
      </c>
    </row>
    <row r="52" spans="1:18" s="57" customFormat="1" ht="12.95" customHeight="1" x14ac:dyDescent="0.2">
      <c r="A52" s="49" t="s">
        <v>54</v>
      </c>
      <c r="B52" s="64" t="s">
        <v>29</v>
      </c>
      <c r="C52" s="49">
        <v>56400.515700000004</v>
      </c>
      <c r="D52" s="49">
        <v>1.23E-2</v>
      </c>
      <c r="E52" s="57">
        <f t="shared" si="0"/>
        <v>12005.497979732194</v>
      </c>
      <c r="F52" s="57">
        <f t="shared" si="1"/>
        <v>12005.5</v>
      </c>
      <c r="G52" s="57">
        <f t="shared" si="2"/>
        <v>-7.8790000407025218E-4</v>
      </c>
      <c r="J52" s="57">
        <f>+G52</f>
        <v>-7.8790000407025218E-4</v>
      </c>
      <c r="O52" s="57">
        <f t="shared" ca="1" si="7"/>
        <v>1.3671442006010087E-4</v>
      </c>
      <c r="Q52" s="60">
        <f t="shared" si="3"/>
        <v>41382.015700000004</v>
      </c>
      <c r="R52" s="57">
        <f t="shared" ca="1" si="4"/>
        <v>8.5491183330990437E-7</v>
      </c>
    </row>
    <row r="53" spans="1:18" s="57" customFormat="1" ht="12.95" customHeight="1" x14ac:dyDescent="0.2">
      <c r="A53" s="53" t="s">
        <v>56</v>
      </c>
      <c r="B53" s="54" t="s">
        <v>29</v>
      </c>
      <c r="C53" s="53">
        <v>56729.489699999998</v>
      </c>
      <c r="D53" s="53">
        <v>1.6999999999999999E-3</v>
      </c>
      <c r="E53" s="57">
        <f t="shared" si="0"/>
        <v>12849.025815017405</v>
      </c>
      <c r="F53" s="57">
        <f t="shared" si="1"/>
        <v>12849</v>
      </c>
      <c r="G53" s="57">
        <f t="shared" si="2"/>
        <v>1.006779999443097E-2</v>
      </c>
      <c r="J53" s="57">
        <f>+G53</f>
        <v>1.006779999443097E-2</v>
      </c>
      <c r="O53" s="57">
        <f t="shared" ca="1" si="7"/>
        <v>-3.4143395794534945E-3</v>
      </c>
      <c r="Q53" s="60">
        <f t="shared" si="3"/>
        <v>41710.989699999998</v>
      </c>
      <c r="R53" s="57">
        <f t="shared" ca="1" si="4"/>
        <v>1.8176808748970158E-4</v>
      </c>
    </row>
    <row r="54" spans="1:18" s="57" customFormat="1" ht="12.95" customHeight="1" x14ac:dyDescent="0.2">
      <c r="A54" s="53" t="s">
        <v>56</v>
      </c>
      <c r="B54" s="54" t="s">
        <v>29</v>
      </c>
      <c r="C54" s="53">
        <v>56729.654699999999</v>
      </c>
      <c r="D54" s="53">
        <v>1.6999999999999999E-3</v>
      </c>
      <c r="E54" s="57">
        <f t="shared" si="0"/>
        <v>12849.448894327084</v>
      </c>
      <c r="F54" s="57">
        <f t="shared" si="1"/>
        <v>12849.5</v>
      </c>
      <c r="G54" s="57">
        <f t="shared" si="2"/>
        <v>-1.9931100003304891E-2</v>
      </c>
      <c r="J54" s="57">
        <f>+G54</f>
        <v>-1.9931100003304891E-2</v>
      </c>
      <c r="O54" s="57">
        <f t="shared" ca="1" si="7"/>
        <v>-3.4164445314389738E-3</v>
      </c>
      <c r="Q54" s="60">
        <f t="shared" si="3"/>
        <v>41711.154699999999</v>
      </c>
      <c r="R54" s="57">
        <f t="shared" ca="1" si="4"/>
        <v>2.7273384535443087E-4</v>
      </c>
    </row>
    <row r="55" spans="1:18" s="57" customFormat="1" ht="12.95" customHeight="1" x14ac:dyDescent="0.2">
      <c r="A55" s="53" t="s">
        <v>56</v>
      </c>
      <c r="B55" s="54" t="s">
        <v>29</v>
      </c>
      <c r="C55" s="53">
        <v>56730.456100000003</v>
      </c>
      <c r="D55" s="53">
        <v>1.2999999999999999E-3</v>
      </c>
      <c r="E55" s="57">
        <f t="shared" si="0"/>
        <v>12851.503777713617</v>
      </c>
      <c r="F55" s="57">
        <f t="shared" si="1"/>
        <v>12851.5</v>
      </c>
      <c r="G55" s="57">
        <f t="shared" si="2"/>
        <v>1.473299998906441E-3</v>
      </c>
      <c r="J55" s="57">
        <f>+G55</f>
        <v>1.473299998906441E-3</v>
      </c>
      <c r="O55" s="57">
        <f t="shared" ca="1" si="7"/>
        <v>-3.4248643393809189E-3</v>
      </c>
      <c r="Q55" s="60">
        <f t="shared" si="3"/>
        <v>41711.956100000003</v>
      </c>
      <c r="R55" s="57">
        <f t="shared" ca="1" si="4"/>
        <v>2.399201388487005E-5</v>
      </c>
    </row>
    <row r="56" spans="1:18" s="57" customFormat="1" ht="12.95" customHeight="1" x14ac:dyDescent="0.2">
      <c r="A56" s="53" t="s">
        <v>56</v>
      </c>
      <c r="B56" s="54" t="s">
        <v>29</v>
      </c>
      <c r="C56" s="53">
        <v>56730.6515</v>
      </c>
      <c r="D56" s="53">
        <v>1.6999999999999999E-3</v>
      </c>
      <c r="E56" s="57">
        <f t="shared" si="0"/>
        <v>12852.004806180948</v>
      </c>
      <c r="F56" s="57">
        <f t="shared" si="1"/>
        <v>12852</v>
      </c>
      <c r="G56" s="57">
        <f t="shared" si="2"/>
        <v>1.8743999971775338E-3</v>
      </c>
      <c r="J56" s="57">
        <f>+G56</f>
        <v>1.8743999971775338E-3</v>
      </c>
      <c r="O56" s="57">
        <f t="shared" ca="1" si="7"/>
        <v>-3.4269692913664052E-3</v>
      </c>
      <c r="Q56" s="60">
        <f t="shared" si="3"/>
        <v>41712.1515</v>
      </c>
      <c r="R56" s="57">
        <f t="shared" ca="1" si="4"/>
        <v>2.810451633351687E-5</v>
      </c>
    </row>
    <row r="57" spans="1:18" s="57" customFormat="1" ht="12.95" customHeight="1" x14ac:dyDescent="0.2">
      <c r="A57" s="55" t="s">
        <v>211</v>
      </c>
      <c r="B57" s="56"/>
      <c r="C57" s="49">
        <v>57130.783799999997</v>
      </c>
      <c r="D57" s="49">
        <v>2.9999999999999997E-4</v>
      </c>
      <c r="E57" s="57">
        <f t="shared" si="0"/>
        <v>13877.99085020478</v>
      </c>
      <c r="F57" s="57">
        <f t="shared" si="1"/>
        <v>13878</v>
      </c>
      <c r="G57" s="57">
        <f t="shared" si="2"/>
        <v>-3.5684000031324103E-3</v>
      </c>
      <c r="K57" s="57">
        <f>+G57</f>
        <v>-3.5684000031324103E-3</v>
      </c>
      <c r="O57" s="57">
        <f t="shared" ca="1" si="7"/>
        <v>-7.7463307655821073E-3</v>
      </c>
      <c r="Q57" s="60">
        <f t="shared" si="3"/>
        <v>42112.283799999997</v>
      </c>
      <c r="R57" s="57">
        <f t="shared" ca="1" si="4"/>
        <v>1.7455105455823505E-5</v>
      </c>
    </row>
    <row r="58" spans="1:18" s="57" customFormat="1" ht="12.95" customHeight="1" x14ac:dyDescent="0.2">
      <c r="A58" s="55" t="s">
        <v>212</v>
      </c>
      <c r="B58" s="56"/>
      <c r="C58" s="49">
        <v>57488.794999999998</v>
      </c>
      <c r="D58" s="49">
        <v>2E-3</v>
      </c>
      <c r="E58" s="57">
        <f t="shared" si="0"/>
        <v>14795.973464465684</v>
      </c>
      <c r="F58" s="57">
        <f t="shared" si="1"/>
        <v>14796</v>
      </c>
      <c r="G58" s="57">
        <f t="shared" si="2"/>
        <v>-1.0348800002248026E-2</v>
      </c>
      <c r="K58" s="57">
        <f>+G58</f>
        <v>-1.0348800002248026E-2</v>
      </c>
      <c r="O58" s="57">
        <f t="shared" ca="1" si="7"/>
        <v>-1.1611022610933004E-2</v>
      </c>
      <c r="Q58" s="60">
        <f t="shared" si="3"/>
        <v>42470.294999999998</v>
      </c>
      <c r="R58" s="57">
        <f t="shared" ca="1" si="4"/>
        <v>1.5932059138755104E-6</v>
      </c>
    </row>
    <row r="59" spans="1:18" s="57" customFormat="1" ht="12.95" customHeight="1" x14ac:dyDescent="0.2">
      <c r="A59" s="55" t="s">
        <v>213</v>
      </c>
      <c r="B59" s="64"/>
      <c r="C59" s="49">
        <v>59235.987099999998</v>
      </c>
      <c r="D59" s="49">
        <v>4.0000000000000002E-4</v>
      </c>
      <c r="E59" s="57">
        <f>+(C59-C$7)/C$8</f>
        <v>19275.978479878591</v>
      </c>
      <c r="F59" s="57">
        <f t="shared" si="1"/>
        <v>19276</v>
      </c>
      <c r="G59" s="57">
        <f>+C59-(C$7+F59*C$8)</f>
        <v>-8.3928000021842308E-3</v>
      </c>
      <c r="K59" s="57">
        <f>+G59</f>
        <v>-8.3928000021842308E-3</v>
      </c>
      <c r="O59" s="57">
        <f ca="1">+C$11+C$12*$F59</f>
        <v>-3.0471392400880738E-2</v>
      </c>
      <c r="Q59" s="60">
        <f>+C59-15018.5</f>
        <v>44217.487099999998</v>
      </c>
      <c r="R59" s="57">
        <f ca="1">(O59-G59)^2</f>
        <v>4.8746424230777921E-4</v>
      </c>
    </row>
    <row r="60" spans="1:18" s="57" customFormat="1" ht="12.95" customHeight="1" x14ac:dyDescent="0.2">
      <c r="A60" s="20" t="s">
        <v>214</v>
      </c>
      <c r="B60" s="66" t="s">
        <v>29</v>
      </c>
      <c r="C60" s="67">
        <v>59556.689899999998</v>
      </c>
      <c r="D60" s="68">
        <v>2.0000000000000001E-4</v>
      </c>
      <c r="E60" s="57">
        <f t="shared" ref="E60:E61" si="8">+(C60-C$7)/C$8</f>
        <v>20098.297990398903</v>
      </c>
      <c r="F60" s="57">
        <f t="shared" ref="F60:F61" si="9">ROUND(2*E60,0)/2</f>
        <v>20098.5</v>
      </c>
      <c r="G60" s="57">
        <f t="shared" ref="G60:G61" si="10">+C60-(C$7+F60*C$8)</f>
        <v>-7.8783300006762147E-2</v>
      </c>
      <c r="K60" s="57">
        <f t="shared" ref="K60:K61" si="11">+G60</f>
        <v>-7.8783300006762147E-2</v>
      </c>
      <c r="O60" s="57">
        <f t="shared" ref="O60:O61" ca="1" si="12">+C$11+C$12*$F60</f>
        <v>-3.3934038417003952E-2</v>
      </c>
      <c r="Q60" s="60">
        <f t="shared" ref="Q60:Q61" si="13">+C60-15018.5</f>
        <v>44538.189899999998</v>
      </c>
      <c r="R60" s="57">
        <f t="shared" ref="R60:R61" ca="1" si="14">(O60-G60)^2</f>
        <v>2.0114562651465597E-3</v>
      </c>
    </row>
    <row r="61" spans="1:18" s="57" customFormat="1" ht="12.95" customHeight="1" x14ac:dyDescent="0.2">
      <c r="A61" s="20" t="s">
        <v>215</v>
      </c>
      <c r="B61" s="66" t="s">
        <v>29</v>
      </c>
      <c r="C61" s="68">
        <v>59681.748</v>
      </c>
      <c r="D61" s="68">
        <v>5.9999999999999995E-4</v>
      </c>
      <c r="E61" s="57">
        <f t="shared" si="8"/>
        <v>20418.961594142314</v>
      </c>
      <c r="F61" s="57">
        <f t="shared" si="9"/>
        <v>20419</v>
      </c>
      <c r="G61" s="57">
        <f t="shared" si="10"/>
        <v>-1.4978200000768993E-2</v>
      </c>
      <c r="K61" s="57">
        <f t="shared" si="11"/>
        <v>-1.4978200000768993E-2</v>
      </c>
      <c r="O61" s="57">
        <f t="shared" ca="1" si="12"/>
        <v>-3.5283312639699992E-2</v>
      </c>
      <c r="Q61" s="60">
        <f t="shared" si="13"/>
        <v>44663.248</v>
      </c>
      <c r="R61" s="57">
        <f t="shared" ca="1" si="14"/>
        <v>4.1229759927967536E-4</v>
      </c>
    </row>
    <row r="62" spans="1:18" s="57" customFormat="1" ht="12.95" customHeight="1" x14ac:dyDescent="0.2">
      <c r="A62" s="56"/>
      <c r="B62" s="56"/>
      <c r="C62" s="49"/>
      <c r="D62" s="49"/>
    </row>
    <row r="63" spans="1:18" s="57" customFormat="1" ht="12.95" customHeight="1" x14ac:dyDescent="0.2">
      <c r="A63" s="56"/>
      <c r="B63" s="56"/>
      <c r="C63" s="49"/>
      <c r="D63" s="49"/>
    </row>
    <row r="64" spans="1:18" s="57" customFormat="1" ht="12.95" customHeight="1" x14ac:dyDescent="0.2">
      <c r="A64" s="56"/>
      <c r="B64" s="56"/>
      <c r="C64" s="49"/>
      <c r="D64" s="49"/>
    </row>
    <row r="65" spans="1:4" s="57" customFormat="1" ht="12.95" customHeight="1" x14ac:dyDescent="0.2">
      <c r="A65" s="56"/>
      <c r="B65" s="56"/>
      <c r="C65" s="49"/>
      <c r="D65" s="49"/>
    </row>
    <row r="66" spans="1:4" s="57" customFormat="1" ht="12.95" customHeight="1" x14ac:dyDescent="0.2">
      <c r="A66" s="56"/>
      <c r="B66" s="56"/>
      <c r="C66" s="49"/>
      <c r="D66" s="49"/>
    </row>
    <row r="67" spans="1:4" s="57" customFormat="1" ht="12.95" customHeight="1" x14ac:dyDescent="0.2">
      <c r="A67" s="56"/>
      <c r="B67" s="56"/>
      <c r="C67" s="49"/>
      <c r="D67" s="49"/>
    </row>
    <row r="68" spans="1:4" s="57" customFormat="1" ht="12.95" customHeight="1" x14ac:dyDescent="0.2">
      <c r="A68" s="56"/>
      <c r="B68" s="56"/>
      <c r="C68" s="49"/>
      <c r="D68" s="49"/>
    </row>
    <row r="69" spans="1:4" s="57" customFormat="1" ht="12.95" customHeight="1" x14ac:dyDescent="0.2">
      <c r="A69" s="56"/>
      <c r="B69" s="56"/>
      <c r="C69" s="49"/>
      <c r="D69" s="49"/>
    </row>
    <row r="70" spans="1:4" s="57" customFormat="1" ht="12.95" customHeight="1" x14ac:dyDescent="0.2">
      <c r="A70" s="56"/>
      <c r="B70" s="56"/>
      <c r="C70" s="49"/>
      <c r="D70" s="49"/>
    </row>
    <row r="71" spans="1:4" s="57" customFormat="1" ht="12.95" customHeight="1" x14ac:dyDescent="0.2">
      <c r="A71" s="56"/>
      <c r="B71" s="56"/>
      <c r="C71" s="49"/>
      <c r="D71" s="49"/>
    </row>
    <row r="72" spans="1:4" s="57" customFormat="1" ht="12.95" customHeight="1" x14ac:dyDescent="0.2">
      <c r="A72" s="56"/>
      <c r="B72" s="56"/>
      <c r="C72" s="49"/>
      <c r="D72" s="49"/>
    </row>
    <row r="73" spans="1:4" s="57" customFormat="1" ht="12.95" customHeight="1" x14ac:dyDescent="0.2">
      <c r="A73" s="56"/>
      <c r="B73" s="56"/>
      <c r="C73" s="49"/>
      <c r="D73" s="49"/>
    </row>
    <row r="74" spans="1:4" s="57" customFormat="1" ht="12.95" customHeight="1" x14ac:dyDescent="0.2">
      <c r="A74" s="56"/>
      <c r="B74" s="56"/>
      <c r="C74" s="49"/>
      <c r="D74" s="49"/>
    </row>
    <row r="75" spans="1:4" s="57" customFormat="1" ht="12.95" customHeight="1" x14ac:dyDescent="0.2">
      <c r="A75" s="56"/>
      <c r="B75" s="56"/>
      <c r="C75" s="49"/>
      <c r="D75" s="49"/>
    </row>
    <row r="76" spans="1:4" s="57" customFormat="1" ht="12.95" customHeight="1" x14ac:dyDescent="0.2">
      <c r="A76" s="56"/>
      <c r="B76" s="56"/>
      <c r="C76" s="49"/>
      <c r="D76" s="49"/>
    </row>
    <row r="77" spans="1:4" s="57" customFormat="1" ht="12.95" customHeight="1" x14ac:dyDescent="0.2">
      <c r="A77" s="56"/>
      <c r="B77" s="56"/>
      <c r="C77" s="49"/>
      <c r="D77" s="49"/>
    </row>
    <row r="78" spans="1:4" s="57" customFormat="1" ht="12.95" customHeight="1" x14ac:dyDescent="0.2">
      <c r="A78" s="56"/>
      <c r="B78" s="56"/>
      <c r="C78" s="49"/>
      <c r="D78" s="49"/>
    </row>
    <row r="79" spans="1:4" s="57" customFormat="1" ht="12.95" customHeight="1" x14ac:dyDescent="0.2">
      <c r="A79" s="56"/>
      <c r="B79" s="56"/>
      <c r="C79" s="49"/>
      <c r="D79" s="49"/>
    </row>
    <row r="80" spans="1:4" s="57" customFormat="1" ht="12.95" customHeight="1" x14ac:dyDescent="0.2">
      <c r="A80" s="56"/>
      <c r="B80" s="56"/>
      <c r="C80" s="49"/>
      <c r="D80" s="49"/>
    </row>
    <row r="81" spans="1:4" s="57" customFormat="1" ht="12.95" customHeight="1" x14ac:dyDescent="0.2">
      <c r="A81" s="56"/>
      <c r="B81" s="56"/>
      <c r="C81" s="49"/>
      <c r="D81" s="49"/>
    </row>
    <row r="82" spans="1:4" s="57" customFormat="1" ht="12.95" customHeight="1" x14ac:dyDescent="0.2">
      <c r="A82" s="56"/>
      <c r="B82" s="56"/>
      <c r="C82" s="49"/>
      <c r="D82" s="49"/>
    </row>
    <row r="83" spans="1:4" s="57" customFormat="1" ht="12.95" customHeight="1" x14ac:dyDescent="0.2">
      <c r="A83" s="56"/>
      <c r="B83" s="56"/>
      <c r="C83" s="49"/>
      <c r="D83" s="49"/>
    </row>
    <row r="84" spans="1:4" s="57" customFormat="1" ht="12.95" customHeight="1" x14ac:dyDescent="0.2">
      <c r="A84" s="56"/>
      <c r="B84" s="56"/>
      <c r="C84" s="49"/>
      <c r="D84" s="49"/>
    </row>
    <row r="85" spans="1:4" s="57" customFormat="1" ht="12.95" customHeight="1" x14ac:dyDescent="0.2">
      <c r="A85" s="56"/>
      <c r="B85" s="56"/>
      <c r="C85" s="49"/>
      <c r="D85" s="49"/>
    </row>
    <row r="86" spans="1:4" s="57" customFormat="1" ht="12.95" customHeight="1" x14ac:dyDescent="0.2">
      <c r="A86" s="56"/>
      <c r="B86" s="56"/>
      <c r="C86" s="49"/>
      <c r="D86" s="49"/>
    </row>
    <row r="87" spans="1:4" s="57" customFormat="1" ht="12.95" customHeight="1" x14ac:dyDescent="0.2">
      <c r="C87" s="61"/>
      <c r="D87" s="61"/>
    </row>
    <row r="88" spans="1:4" s="57" customFormat="1" ht="12.95" customHeight="1" x14ac:dyDescent="0.2">
      <c r="C88" s="61"/>
      <c r="D88" s="61"/>
    </row>
    <row r="89" spans="1:4" s="57" customFormat="1" ht="12.95" customHeight="1" x14ac:dyDescent="0.2">
      <c r="C89" s="61"/>
      <c r="D89" s="61"/>
    </row>
    <row r="90" spans="1:4" s="57" customFormat="1" ht="12.95" customHeight="1" x14ac:dyDescent="0.2">
      <c r="C90" s="61"/>
      <c r="D90" s="61"/>
    </row>
    <row r="91" spans="1:4" s="57" customFormat="1" ht="12.95" customHeight="1" x14ac:dyDescent="0.2">
      <c r="C91" s="61"/>
      <c r="D91" s="61"/>
    </row>
    <row r="92" spans="1:4" s="57" customFormat="1" ht="12.95" customHeight="1" x14ac:dyDescent="0.2">
      <c r="C92" s="61"/>
      <c r="D92" s="61"/>
    </row>
    <row r="93" spans="1:4" s="57" customFormat="1" ht="12.95" customHeight="1" x14ac:dyDescent="0.2">
      <c r="C93" s="61"/>
      <c r="D93" s="61"/>
    </row>
    <row r="94" spans="1:4" s="57" customFormat="1" ht="12.95" customHeight="1" x14ac:dyDescent="0.2">
      <c r="C94" s="61"/>
      <c r="D94" s="61"/>
    </row>
    <row r="95" spans="1:4" s="57" customFormat="1" ht="12.95" customHeight="1" x14ac:dyDescent="0.2">
      <c r="C95" s="61"/>
      <c r="D95" s="61"/>
    </row>
    <row r="96" spans="1:4" s="57" customFormat="1" ht="12.95" customHeight="1" x14ac:dyDescent="0.2">
      <c r="C96" s="61"/>
      <c r="D96" s="61"/>
    </row>
    <row r="97" spans="3:4" s="57" customFormat="1" ht="12.95" customHeight="1" x14ac:dyDescent="0.2">
      <c r="C97" s="61"/>
      <c r="D97" s="61"/>
    </row>
    <row r="98" spans="3:4" s="57" customFormat="1" ht="12.95" customHeight="1" x14ac:dyDescent="0.2">
      <c r="C98" s="61"/>
      <c r="D98" s="61"/>
    </row>
    <row r="99" spans="3:4" s="57" customFormat="1" ht="12.95" customHeight="1" x14ac:dyDescent="0.2">
      <c r="C99" s="61"/>
      <c r="D99" s="61"/>
    </row>
    <row r="100" spans="3:4" s="57" customFormat="1" ht="12.95" customHeight="1" x14ac:dyDescent="0.2">
      <c r="C100" s="61"/>
      <c r="D100" s="61"/>
    </row>
    <row r="101" spans="3:4" s="57" customFormat="1" ht="12.95" customHeight="1" x14ac:dyDescent="0.2">
      <c r="C101" s="61"/>
      <c r="D101" s="61"/>
    </row>
    <row r="102" spans="3:4" s="57" customFormat="1" ht="12.95" customHeight="1" x14ac:dyDescent="0.2">
      <c r="C102" s="61"/>
      <c r="D102" s="61"/>
    </row>
    <row r="103" spans="3:4" s="57" customFormat="1" ht="12.95" customHeight="1" x14ac:dyDescent="0.2">
      <c r="C103" s="61"/>
      <c r="D103" s="61"/>
    </row>
    <row r="104" spans="3:4" s="57" customFormat="1" ht="12.95" customHeight="1" x14ac:dyDescent="0.2">
      <c r="C104" s="61"/>
      <c r="D104" s="61"/>
    </row>
    <row r="105" spans="3:4" s="57" customFormat="1" ht="12.95" customHeight="1" x14ac:dyDescent="0.2">
      <c r="C105" s="61"/>
      <c r="D105" s="61"/>
    </row>
    <row r="106" spans="3:4" s="57" customFormat="1" ht="12.95" customHeight="1" x14ac:dyDescent="0.2">
      <c r="C106" s="61"/>
      <c r="D106" s="61"/>
    </row>
    <row r="107" spans="3:4" s="57" customFormat="1" ht="12.95" customHeight="1" x14ac:dyDescent="0.2">
      <c r="C107" s="61"/>
      <c r="D107" s="61"/>
    </row>
    <row r="108" spans="3:4" s="57" customFormat="1" ht="12.95" customHeight="1" x14ac:dyDescent="0.2">
      <c r="C108" s="61"/>
      <c r="D108" s="61"/>
    </row>
    <row r="109" spans="3:4" s="57" customFormat="1" ht="12.95" customHeight="1" x14ac:dyDescent="0.2">
      <c r="C109" s="61"/>
      <c r="D109" s="61"/>
    </row>
    <row r="110" spans="3:4" s="57" customFormat="1" ht="12.95" customHeight="1" x14ac:dyDescent="0.2">
      <c r="C110" s="61"/>
      <c r="D110" s="61"/>
    </row>
    <row r="111" spans="3:4" s="57" customFormat="1" ht="12.95" customHeight="1" x14ac:dyDescent="0.2">
      <c r="C111" s="61"/>
      <c r="D111" s="61"/>
    </row>
    <row r="112" spans="3:4" s="57" customFormat="1" ht="12.95" customHeight="1" x14ac:dyDescent="0.2">
      <c r="C112" s="61"/>
      <c r="D112" s="61"/>
    </row>
    <row r="113" spans="3:4" s="57" customFormat="1" ht="12.95" customHeight="1" x14ac:dyDescent="0.2">
      <c r="C113" s="61"/>
      <c r="D113" s="61"/>
    </row>
    <row r="114" spans="3:4" s="57" customFormat="1" ht="12.95" customHeight="1" x14ac:dyDescent="0.2">
      <c r="C114" s="61"/>
      <c r="D114" s="61"/>
    </row>
    <row r="115" spans="3:4" s="57" customFormat="1" ht="12.95" customHeight="1" x14ac:dyDescent="0.2">
      <c r="C115" s="61"/>
      <c r="D115" s="61"/>
    </row>
    <row r="116" spans="3:4" s="57" customFormat="1" ht="12.95" customHeight="1" x14ac:dyDescent="0.2">
      <c r="C116" s="61"/>
      <c r="D116" s="61"/>
    </row>
    <row r="117" spans="3:4" s="57" customFormat="1" ht="12.95" customHeight="1" x14ac:dyDescent="0.2">
      <c r="C117" s="61"/>
      <c r="D117" s="61"/>
    </row>
    <row r="118" spans="3:4" s="65" customFormat="1" ht="12.95" customHeight="1" x14ac:dyDescent="0.2"/>
    <row r="119" spans="3:4" s="65" customFormat="1" ht="12.95" customHeight="1" x14ac:dyDescent="0.2"/>
    <row r="120" spans="3:4" s="65" customFormat="1" ht="12.95" customHeight="1" x14ac:dyDescent="0.2"/>
    <row r="121" spans="3:4" s="65" customFormat="1" ht="12.95" customHeight="1" x14ac:dyDescent="0.2"/>
    <row r="122" spans="3:4" s="65" customFormat="1" ht="12.95" customHeight="1" x14ac:dyDescent="0.2"/>
    <row r="123" spans="3:4" s="65" customFormat="1" ht="12.95" customHeight="1" x14ac:dyDescent="0.2"/>
    <row r="124" spans="3:4" s="65" customFormat="1" ht="12.95" customHeight="1" x14ac:dyDescent="0.2"/>
    <row r="125" spans="3:4" s="65" customFormat="1" ht="12.95" customHeight="1" x14ac:dyDescent="0.2"/>
    <row r="126" spans="3:4" s="65" customFormat="1" ht="12.95" customHeight="1" x14ac:dyDescent="0.2"/>
    <row r="127" spans="3:4" s="65" customFormat="1" ht="12.95" customHeight="1" x14ac:dyDescent="0.2"/>
    <row r="128" spans="3:4" s="65" customFormat="1" ht="12.95" customHeight="1" x14ac:dyDescent="0.2"/>
    <row r="129" s="65" customFormat="1" ht="12.95" customHeight="1" x14ac:dyDescent="0.2"/>
    <row r="130" s="65" customFormat="1" ht="12.95" customHeight="1" x14ac:dyDescent="0.2"/>
    <row r="131" s="65" customFormat="1" ht="12.95" customHeight="1" x14ac:dyDescent="0.2"/>
    <row r="132" s="65" customFormat="1" ht="12.95" customHeight="1" x14ac:dyDescent="0.2"/>
    <row r="133" s="65" customFormat="1" ht="12.95" customHeight="1" x14ac:dyDescent="0.2"/>
    <row r="134" s="65" customFormat="1" ht="12.95" customHeight="1" x14ac:dyDescent="0.2"/>
    <row r="135" s="65" customFormat="1" ht="12.95" customHeight="1" x14ac:dyDescent="0.2"/>
    <row r="136" s="65" customFormat="1" ht="12.95" customHeight="1" x14ac:dyDescent="0.2"/>
    <row r="137" s="65" customFormat="1" ht="12.95" customHeight="1" x14ac:dyDescent="0.2"/>
    <row r="138" s="65" customFormat="1" ht="12.95" customHeight="1" x14ac:dyDescent="0.2"/>
    <row r="139" s="65" customFormat="1" ht="12.95" customHeight="1" x14ac:dyDescent="0.2"/>
    <row r="140" s="65" customFormat="1" ht="12.95" customHeight="1" x14ac:dyDescent="0.2"/>
    <row r="141" s="65" customFormat="1" ht="12.95" customHeight="1" x14ac:dyDescent="0.2"/>
    <row r="142" s="65" customFormat="1" ht="12.95" customHeight="1" x14ac:dyDescent="0.2"/>
    <row r="143" s="65" customFormat="1" ht="12.95" customHeight="1" x14ac:dyDescent="0.2"/>
    <row r="144" s="65" customFormat="1" ht="12.95" customHeight="1" x14ac:dyDescent="0.2"/>
    <row r="145" s="65" customFormat="1" ht="12.95" customHeight="1" x14ac:dyDescent="0.2"/>
    <row r="146" s="65" customFormat="1" ht="12.95" customHeight="1" x14ac:dyDescent="0.2"/>
    <row r="147" s="65" customFormat="1" ht="12.95" customHeight="1" x14ac:dyDescent="0.2"/>
    <row r="148" s="65" customFormat="1" ht="12.95" customHeight="1" x14ac:dyDescent="0.2"/>
    <row r="149" s="65" customFormat="1" ht="12.95" customHeight="1" x14ac:dyDescent="0.2"/>
    <row r="150" s="65" customFormat="1" ht="12.95" customHeight="1" x14ac:dyDescent="0.2"/>
    <row r="151" s="65" customFormat="1" ht="12.95" customHeight="1" x14ac:dyDescent="0.2"/>
    <row r="152" s="65" customFormat="1" ht="12.95" customHeight="1" x14ac:dyDescent="0.2"/>
    <row r="153" s="65" customFormat="1" ht="12.95" customHeight="1" x14ac:dyDescent="0.2"/>
    <row r="154" s="65" customFormat="1" ht="12.95" customHeight="1" x14ac:dyDescent="0.2"/>
    <row r="155" s="65" customFormat="1" ht="12.95" customHeight="1" x14ac:dyDescent="0.2"/>
    <row r="156" s="65" customFormat="1" ht="12.95" customHeight="1" x14ac:dyDescent="0.2"/>
    <row r="157" s="65" customFormat="1" ht="12.95" customHeight="1" x14ac:dyDescent="0.2"/>
    <row r="158" s="65" customFormat="1" ht="12.95" customHeight="1" x14ac:dyDescent="0.2"/>
    <row r="159" s="65" customFormat="1" ht="12.95" customHeight="1" x14ac:dyDescent="0.2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D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04"/>
  <sheetViews>
    <sheetView workbookViewId="0">
      <selection activeCell="A40" sqref="A40:D43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7" t="s">
        <v>58</v>
      </c>
      <c r="I1" s="8" t="s">
        <v>59</v>
      </c>
      <c r="J1" s="9" t="s">
        <v>60</v>
      </c>
    </row>
    <row r="2" spans="1:16" x14ac:dyDescent="0.2">
      <c r="I2" s="10" t="s">
        <v>61</v>
      </c>
      <c r="J2" s="11" t="s">
        <v>62</v>
      </c>
    </row>
    <row r="3" spans="1:16" x14ac:dyDescent="0.2">
      <c r="A3" s="12" t="s">
        <v>63</v>
      </c>
      <c r="I3" s="10" t="s">
        <v>64</v>
      </c>
      <c r="J3" s="11" t="s">
        <v>65</v>
      </c>
    </row>
    <row r="4" spans="1:16" x14ac:dyDescent="0.2">
      <c r="I4" s="10" t="s">
        <v>66</v>
      </c>
      <c r="J4" s="11" t="s">
        <v>65</v>
      </c>
    </row>
    <row r="5" spans="1:16" ht="13.5" thickBot="1" x14ac:dyDescent="0.25">
      <c r="I5" s="13" t="s">
        <v>67</v>
      </c>
      <c r="J5" s="14" t="s">
        <v>68</v>
      </c>
    </row>
    <row r="10" spans="1:16" ht="13.5" thickBot="1" x14ac:dyDescent="0.25"/>
    <row r="11" spans="1:16" ht="12.75" customHeight="1" thickBot="1" x14ac:dyDescent="0.25">
      <c r="A11" s="4" t="str">
        <f t="shared" ref="A11:A43" si="0">P11</f>
        <v>IBVS 5341 </v>
      </c>
      <c r="B11" s="2" t="str">
        <f t="shared" ref="B11:B43" si="1">IF(H11=INT(H11),"I","II")</f>
        <v>II</v>
      </c>
      <c r="C11" s="4">
        <f t="shared" ref="C11:C43" si="2">1*G11</f>
        <v>52043.459300000002</v>
      </c>
      <c r="D11" s="6" t="str">
        <f t="shared" ref="D11:D43" si="3">VLOOKUP(F11,I$1:J$5,2,FALSE)</f>
        <v>vis</v>
      </c>
      <c r="E11" s="15">
        <f>VLOOKUP(C11,Active!C$21:E$973,3,FALSE)</f>
        <v>833.49547100008942</v>
      </c>
      <c r="F11" s="2" t="s">
        <v>67</v>
      </c>
      <c r="G11" s="6" t="str">
        <f t="shared" ref="G11:G43" si="4">MID(I11,3,LEN(I11)-3)</f>
        <v>52043.4593</v>
      </c>
      <c r="H11" s="4">
        <f t="shared" ref="H11:H43" si="5">1*K11</f>
        <v>-1171.5</v>
      </c>
      <c r="I11" s="16" t="s">
        <v>69</v>
      </c>
      <c r="J11" s="17" t="s">
        <v>70</v>
      </c>
      <c r="K11" s="16">
        <v>-1171.5</v>
      </c>
      <c r="L11" s="16" t="s">
        <v>71</v>
      </c>
      <c r="M11" s="17" t="s">
        <v>72</v>
      </c>
      <c r="N11" s="17" t="s">
        <v>73</v>
      </c>
      <c r="O11" s="18" t="s">
        <v>74</v>
      </c>
      <c r="P11" s="19" t="s">
        <v>75</v>
      </c>
    </row>
    <row r="12" spans="1:16" ht="12.75" customHeight="1" thickBot="1" x14ac:dyDescent="0.25">
      <c r="A12" s="4" t="str">
        <f t="shared" si="0"/>
        <v>IBVS 5341 </v>
      </c>
      <c r="B12" s="2" t="str">
        <f t="shared" si="1"/>
        <v>I</v>
      </c>
      <c r="C12" s="4">
        <f t="shared" si="2"/>
        <v>52053.409500000002</v>
      </c>
      <c r="D12" s="6" t="str">
        <f t="shared" si="3"/>
        <v>vis</v>
      </c>
      <c r="E12" s="15">
        <f>VLOOKUP(C12,Active!C$21:E$973,3,FALSE)</f>
        <v>859.00894825560044</v>
      </c>
      <c r="F12" s="2" t="s">
        <v>67</v>
      </c>
      <c r="G12" s="6" t="str">
        <f t="shared" si="4"/>
        <v>52053.4095</v>
      </c>
      <c r="H12" s="4">
        <f t="shared" si="5"/>
        <v>-1146</v>
      </c>
      <c r="I12" s="16" t="s">
        <v>76</v>
      </c>
      <c r="J12" s="17" t="s">
        <v>77</v>
      </c>
      <c r="K12" s="16">
        <v>-1146</v>
      </c>
      <c r="L12" s="16" t="s">
        <v>78</v>
      </c>
      <c r="M12" s="17" t="s">
        <v>72</v>
      </c>
      <c r="N12" s="17" t="s">
        <v>73</v>
      </c>
      <c r="O12" s="18" t="s">
        <v>74</v>
      </c>
      <c r="P12" s="19" t="s">
        <v>75</v>
      </c>
    </row>
    <row r="13" spans="1:16" ht="12.75" customHeight="1" thickBot="1" x14ac:dyDescent="0.25">
      <c r="A13" s="4" t="str">
        <f t="shared" si="0"/>
        <v>IBVS 5380 </v>
      </c>
      <c r="B13" s="2" t="str">
        <f t="shared" si="1"/>
        <v>II</v>
      </c>
      <c r="C13" s="4">
        <f t="shared" si="2"/>
        <v>52400.313300000002</v>
      </c>
      <c r="D13" s="6" t="str">
        <f t="shared" si="3"/>
        <v>vis</v>
      </c>
      <c r="E13" s="15">
        <f>VLOOKUP(C13,Active!C$21:E$973,3,FALSE)</f>
        <v>1748.5108890357792</v>
      </c>
      <c r="F13" s="2" t="s">
        <v>67</v>
      </c>
      <c r="G13" s="6" t="str">
        <f t="shared" si="4"/>
        <v>52400.3133</v>
      </c>
      <c r="H13" s="4">
        <f t="shared" si="5"/>
        <v>-256.5</v>
      </c>
      <c r="I13" s="16" t="s">
        <v>79</v>
      </c>
      <c r="J13" s="17" t="s">
        <v>80</v>
      </c>
      <c r="K13" s="16">
        <v>-256.5</v>
      </c>
      <c r="L13" s="16" t="s">
        <v>81</v>
      </c>
      <c r="M13" s="17" t="s">
        <v>72</v>
      </c>
      <c r="N13" s="17" t="s">
        <v>82</v>
      </c>
      <c r="O13" s="18" t="s">
        <v>83</v>
      </c>
      <c r="P13" s="19" t="s">
        <v>84</v>
      </c>
    </row>
    <row r="14" spans="1:16" ht="12.75" customHeight="1" thickBot="1" x14ac:dyDescent="0.25">
      <c r="A14" s="4" t="str">
        <f t="shared" si="0"/>
        <v>IBVS 5380 </v>
      </c>
      <c r="B14" s="2" t="str">
        <f t="shared" si="1"/>
        <v>I</v>
      </c>
      <c r="C14" s="4">
        <f t="shared" si="2"/>
        <v>52400.491499999996</v>
      </c>
      <c r="D14" s="6" t="str">
        <f t="shared" si="3"/>
        <v>vis</v>
      </c>
      <c r="E14" s="15">
        <f>VLOOKUP(C14,Active!C$21:E$973,3,FALSE)</f>
        <v>1748.9678146902183</v>
      </c>
      <c r="F14" s="2" t="s">
        <v>67</v>
      </c>
      <c r="G14" s="6" t="str">
        <f t="shared" si="4"/>
        <v>52400.4915</v>
      </c>
      <c r="H14" s="4">
        <f t="shared" si="5"/>
        <v>-256</v>
      </c>
      <c r="I14" s="16" t="s">
        <v>85</v>
      </c>
      <c r="J14" s="17" t="s">
        <v>86</v>
      </c>
      <c r="K14" s="16">
        <v>-256</v>
      </c>
      <c r="L14" s="16" t="s">
        <v>87</v>
      </c>
      <c r="M14" s="17" t="s">
        <v>72</v>
      </c>
      <c r="N14" s="17" t="s">
        <v>82</v>
      </c>
      <c r="O14" s="18" t="s">
        <v>83</v>
      </c>
      <c r="P14" s="19" t="s">
        <v>84</v>
      </c>
    </row>
    <row r="15" spans="1:16" ht="12.75" customHeight="1" thickBot="1" x14ac:dyDescent="0.25">
      <c r="A15" s="4" t="str">
        <f t="shared" si="0"/>
        <v>IBVS 5668 </v>
      </c>
      <c r="B15" s="2" t="str">
        <f t="shared" si="1"/>
        <v>I</v>
      </c>
      <c r="C15" s="4">
        <f t="shared" si="2"/>
        <v>53104.450400000002</v>
      </c>
      <c r="D15" s="6" t="str">
        <f t="shared" si="3"/>
        <v>vis</v>
      </c>
      <c r="E15" s="15">
        <f>VLOOKUP(C15,Active!C$21:E$973,3,FALSE)</f>
        <v>3554.0008174405034</v>
      </c>
      <c r="F15" s="2" t="s">
        <v>67</v>
      </c>
      <c r="G15" s="6" t="str">
        <f t="shared" si="4"/>
        <v>53104.4504</v>
      </c>
      <c r="H15" s="4">
        <f t="shared" si="5"/>
        <v>1549</v>
      </c>
      <c r="I15" s="16" t="s">
        <v>88</v>
      </c>
      <c r="J15" s="17" t="s">
        <v>89</v>
      </c>
      <c r="K15" s="16">
        <v>1549</v>
      </c>
      <c r="L15" s="16" t="s">
        <v>90</v>
      </c>
      <c r="M15" s="17" t="s">
        <v>72</v>
      </c>
      <c r="N15" s="17" t="s">
        <v>73</v>
      </c>
      <c r="O15" s="18" t="s">
        <v>74</v>
      </c>
      <c r="P15" s="19" t="s">
        <v>91</v>
      </c>
    </row>
    <row r="16" spans="1:16" ht="12.75" customHeight="1" thickBot="1" x14ac:dyDescent="0.25">
      <c r="A16" s="4" t="str">
        <f t="shared" si="0"/>
        <v>IBVS 5592 </v>
      </c>
      <c r="B16" s="2" t="str">
        <f t="shared" si="1"/>
        <v>I</v>
      </c>
      <c r="C16" s="4">
        <f t="shared" si="2"/>
        <v>53149.299400000004</v>
      </c>
      <c r="D16" s="6" t="str">
        <f t="shared" si="3"/>
        <v>vis</v>
      </c>
      <c r="E16" s="15">
        <f>VLOOKUP(C16,Active!C$21:E$973,3,FALSE)</f>
        <v>3668.9989020450885</v>
      </c>
      <c r="F16" s="2" t="s">
        <v>67</v>
      </c>
      <c r="G16" s="6" t="str">
        <f t="shared" si="4"/>
        <v>53149.2994</v>
      </c>
      <c r="H16" s="4">
        <f t="shared" si="5"/>
        <v>1664</v>
      </c>
      <c r="I16" s="16" t="s">
        <v>97</v>
      </c>
      <c r="J16" s="17" t="s">
        <v>98</v>
      </c>
      <c r="K16" s="16">
        <v>1664</v>
      </c>
      <c r="L16" s="16" t="s">
        <v>99</v>
      </c>
      <c r="M16" s="17" t="s">
        <v>72</v>
      </c>
      <c r="N16" s="17" t="s">
        <v>73</v>
      </c>
      <c r="O16" s="18" t="s">
        <v>100</v>
      </c>
      <c r="P16" s="19" t="s">
        <v>101</v>
      </c>
    </row>
    <row r="17" spans="1:16" ht="12.75" customHeight="1" thickBot="1" x14ac:dyDescent="0.25">
      <c r="A17" s="4" t="str">
        <f t="shared" si="0"/>
        <v>BAVM 173 </v>
      </c>
      <c r="B17" s="2" t="str">
        <f t="shared" si="1"/>
        <v>I</v>
      </c>
      <c r="C17" s="4">
        <f t="shared" si="2"/>
        <v>53455.439899999998</v>
      </c>
      <c r="D17" s="6" t="str">
        <f t="shared" si="3"/>
        <v>vis</v>
      </c>
      <c r="E17" s="15">
        <f>VLOOKUP(C17,Active!C$21:E$973,3,FALSE)</f>
        <v>4453.9789711634112</v>
      </c>
      <c r="F17" s="2" t="s">
        <v>67</v>
      </c>
      <c r="G17" s="6" t="str">
        <f t="shared" si="4"/>
        <v>53455.4399</v>
      </c>
      <c r="H17" s="4">
        <f t="shared" si="5"/>
        <v>2449</v>
      </c>
      <c r="I17" s="16" t="s">
        <v>102</v>
      </c>
      <c r="J17" s="17" t="s">
        <v>103</v>
      </c>
      <c r="K17" s="16">
        <v>2449</v>
      </c>
      <c r="L17" s="16" t="s">
        <v>104</v>
      </c>
      <c r="M17" s="17" t="s">
        <v>72</v>
      </c>
      <c r="N17" s="17" t="s">
        <v>105</v>
      </c>
      <c r="O17" s="18" t="s">
        <v>106</v>
      </c>
      <c r="P17" s="19" t="s">
        <v>107</v>
      </c>
    </row>
    <row r="18" spans="1:16" ht="12.75" customHeight="1" thickBot="1" x14ac:dyDescent="0.25">
      <c r="A18" s="4" t="str">
        <f t="shared" si="0"/>
        <v>IBVS 5814 </v>
      </c>
      <c r="B18" s="2" t="str">
        <f t="shared" si="1"/>
        <v>I</v>
      </c>
      <c r="C18" s="4">
        <f t="shared" si="2"/>
        <v>53885.614999999998</v>
      </c>
      <c r="D18" s="6" t="str">
        <f t="shared" si="3"/>
        <v>vis</v>
      </c>
      <c r="E18" s="15">
        <f>VLOOKUP(C18,Active!C$21:E$973,3,FALSE)</f>
        <v>5556.9982702466386</v>
      </c>
      <c r="F18" s="2" t="s">
        <v>67</v>
      </c>
      <c r="G18" s="6" t="str">
        <f t="shared" si="4"/>
        <v>53885.6150</v>
      </c>
      <c r="H18" s="4">
        <f t="shared" si="5"/>
        <v>3552</v>
      </c>
      <c r="I18" s="16" t="s">
        <v>116</v>
      </c>
      <c r="J18" s="17" t="s">
        <v>117</v>
      </c>
      <c r="K18" s="16">
        <v>3552</v>
      </c>
      <c r="L18" s="16" t="s">
        <v>118</v>
      </c>
      <c r="M18" s="17" t="s">
        <v>119</v>
      </c>
      <c r="N18" s="17" t="s">
        <v>67</v>
      </c>
      <c r="O18" s="18" t="s">
        <v>120</v>
      </c>
      <c r="P18" s="19" t="s">
        <v>121</v>
      </c>
    </row>
    <row r="19" spans="1:16" ht="12.75" customHeight="1" thickBot="1" x14ac:dyDescent="0.25">
      <c r="A19" s="4" t="str">
        <f t="shared" si="0"/>
        <v>BAVM 186 </v>
      </c>
      <c r="B19" s="2" t="str">
        <f t="shared" si="1"/>
        <v>I</v>
      </c>
      <c r="C19" s="4">
        <f t="shared" si="2"/>
        <v>54221.413500000002</v>
      </c>
      <c r="D19" s="6" t="str">
        <f t="shared" si="3"/>
        <v>vis</v>
      </c>
      <c r="E19" s="15">
        <f>VLOOKUP(C19,Active!C$21:E$973,3,FALSE)</f>
        <v>6418.0249221918657</v>
      </c>
      <c r="F19" s="2" t="s">
        <v>67</v>
      </c>
      <c r="G19" s="6" t="str">
        <f t="shared" si="4"/>
        <v>54221.4135</v>
      </c>
      <c r="H19" s="4">
        <f t="shared" si="5"/>
        <v>4413</v>
      </c>
      <c r="I19" s="16" t="s">
        <v>122</v>
      </c>
      <c r="J19" s="17" t="s">
        <v>123</v>
      </c>
      <c r="K19" s="16">
        <v>4413</v>
      </c>
      <c r="L19" s="16" t="s">
        <v>124</v>
      </c>
      <c r="M19" s="17" t="s">
        <v>119</v>
      </c>
      <c r="N19" s="17" t="s">
        <v>105</v>
      </c>
      <c r="O19" s="18" t="s">
        <v>125</v>
      </c>
      <c r="P19" s="19" t="s">
        <v>126</v>
      </c>
    </row>
    <row r="20" spans="1:16" ht="12.75" customHeight="1" thickBot="1" x14ac:dyDescent="0.25">
      <c r="A20" s="4" t="str">
        <f t="shared" si="0"/>
        <v>IBVS 5898 </v>
      </c>
      <c r="B20" s="2" t="str">
        <f t="shared" si="1"/>
        <v>II</v>
      </c>
      <c r="C20" s="4">
        <f t="shared" si="2"/>
        <v>54305.4473</v>
      </c>
      <c r="D20" s="6" t="str">
        <f t="shared" si="3"/>
        <v>vis</v>
      </c>
      <c r="E20" s="15">
        <f>VLOOKUP(C20,Active!C$21:E$973,3,FALSE)</f>
        <v>6633.4974197290248</v>
      </c>
      <c r="F20" s="2" t="s">
        <v>67</v>
      </c>
      <c r="G20" s="6" t="str">
        <f t="shared" si="4"/>
        <v>54305.4473</v>
      </c>
      <c r="H20" s="4">
        <f t="shared" si="5"/>
        <v>4628.5</v>
      </c>
      <c r="I20" s="16" t="s">
        <v>127</v>
      </c>
      <c r="J20" s="17" t="s">
        <v>128</v>
      </c>
      <c r="K20" s="16">
        <v>4628.5</v>
      </c>
      <c r="L20" s="16" t="s">
        <v>129</v>
      </c>
      <c r="M20" s="17" t="s">
        <v>119</v>
      </c>
      <c r="N20" s="17" t="s">
        <v>105</v>
      </c>
      <c r="O20" s="18" t="s">
        <v>130</v>
      </c>
      <c r="P20" s="19" t="s">
        <v>131</v>
      </c>
    </row>
    <row r="21" spans="1:16" ht="12.75" customHeight="1" thickBot="1" x14ac:dyDescent="0.25">
      <c r="A21" s="4" t="str">
        <f t="shared" si="0"/>
        <v>IBVS 5898 </v>
      </c>
      <c r="B21" s="2" t="str">
        <f t="shared" si="1"/>
        <v>I</v>
      </c>
      <c r="C21" s="4">
        <f t="shared" si="2"/>
        <v>54581.378499999999</v>
      </c>
      <c r="D21" s="6" t="str">
        <f t="shared" si="3"/>
        <v>vis</v>
      </c>
      <c r="E21" s="15">
        <f>VLOOKUP(C21,Active!C$21:E$973,3,FALSE)</f>
        <v>7341.017308302753</v>
      </c>
      <c r="F21" s="2" t="s">
        <v>67</v>
      </c>
      <c r="G21" s="6" t="str">
        <f t="shared" si="4"/>
        <v>54581.3785</v>
      </c>
      <c r="H21" s="4">
        <f t="shared" si="5"/>
        <v>5336</v>
      </c>
      <c r="I21" s="16" t="s">
        <v>138</v>
      </c>
      <c r="J21" s="17" t="s">
        <v>139</v>
      </c>
      <c r="K21" s="16">
        <v>5336</v>
      </c>
      <c r="L21" s="16" t="s">
        <v>140</v>
      </c>
      <c r="M21" s="17" t="s">
        <v>119</v>
      </c>
      <c r="N21" s="17" t="s">
        <v>67</v>
      </c>
      <c r="O21" s="18" t="s">
        <v>130</v>
      </c>
      <c r="P21" s="19" t="s">
        <v>131</v>
      </c>
    </row>
    <row r="22" spans="1:16" ht="12.75" customHeight="1" thickBot="1" x14ac:dyDescent="0.25">
      <c r="A22" s="4" t="str">
        <f t="shared" si="0"/>
        <v>IBVS 5898 </v>
      </c>
      <c r="B22" s="2" t="str">
        <f t="shared" si="1"/>
        <v>II</v>
      </c>
      <c r="C22" s="4">
        <f t="shared" si="2"/>
        <v>54581.565399999999</v>
      </c>
      <c r="D22" s="6" t="str">
        <f t="shared" si="3"/>
        <v>vis</v>
      </c>
      <c r="E22" s="15">
        <f>VLOOKUP(C22,Active!C$21:E$973,3,FALSE)</f>
        <v>7341.4965417753538</v>
      </c>
      <c r="F22" s="2" t="s">
        <v>67</v>
      </c>
      <c r="G22" s="6" t="str">
        <f t="shared" si="4"/>
        <v>54581.5654</v>
      </c>
      <c r="H22" s="4">
        <f t="shared" si="5"/>
        <v>5336.5</v>
      </c>
      <c r="I22" s="16" t="s">
        <v>141</v>
      </c>
      <c r="J22" s="17" t="s">
        <v>142</v>
      </c>
      <c r="K22" s="16">
        <v>5336.5</v>
      </c>
      <c r="L22" s="16" t="s">
        <v>143</v>
      </c>
      <c r="M22" s="17" t="s">
        <v>119</v>
      </c>
      <c r="N22" s="17" t="s">
        <v>67</v>
      </c>
      <c r="O22" s="18" t="s">
        <v>130</v>
      </c>
      <c r="P22" s="19" t="s">
        <v>131</v>
      </c>
    </row>
    <row r="23" spans="1:16" ht="12.75" customHeight="1" thickBot="1" x14ac:dyDescent="0.25">
      <c r="A23" s="4" t="str">
        <f t="shared" si="0"/>
        <v>IBVS 5898 </v>
      </c>
      <c r="B23" s="2" t="str">
        <f t="shared" si="1"/>
        <v>I</v>
      </c>
      <c r="C23" s="4">
        <f t="shared" si="2"/>
        <v>54616.472699999998</v>
      </c>
      <c r="D23" s="6" t="str">
        <f t="shared" si="3"/>
        <v>vis</v>
      </c>
      <c r="E23" s="15">
        <f>VLOOKUP(C23,Active!C$21:E$973,3,FALSE)</f>
        <v>7431.0029441191591</v>
      </c>
      <c r="F23" s="2" t="s">
        <v>67</v>
      </c>
      <c r="G23" s="6" t="str">
        <f t="shared" si="4"/>
        <v>54616.4727</v>
      </c>
      <c r="H23" s="4">
        <f t="shared" si="5"/>
        <v>5426</v>
      </c>
      <c r="I23" s="16" t="s">
        <v>144</v>
      </c>
      <c r="J23" s="17" t="s">
        <v>145</v>
      </c>
      <c r="K23" s="16">
        <v>5426</v>
      </c>
      <c r="L23" s="16" t="s">
        <v>146</v>
      </c>
      <c r="M23" s="17" t="s">
        <v>119</v>
      </c>
      <c r="N23" s="17" t="s">
        <v>105</v>
      </c>
      <c r="O23" s="18" t="s">
        <v>130</v>
      </c>
      <c r="P23" s="19" t="s">
        <v>131</v>
      </c>
    </row>
    <row r="24" spans="1:16" ht="12.75" customHeight="1" thickBot="1" x14ac:dyDescent="0.25">
      <c r="A24" s="4" t="str">
        <f t="shared" si="0"/>
        <v>IBVS 5898 </v>
      </c>
      <c r="B24" s="2" t="str">
        <f t="shared" si="1"/>
        <v>I</v>
      </c>
      <c r="C24" s="4">
        <f t="shared" si="2"/>
        <v>54657.427199999998</v>
      </c>
      <c r="D24" s="6" t="str">
        <f t="shared" si="3"/>
        <v>vis</v>
      </c>
      <c r="E24" s="15">
        <f>VLOOKUP(C24,Active!C$21:E$973,3,FALSE)</f>
        <v>7536.0150749568193</v>
      </c>
      <c r="F24" s="2" t="s">
        <v>67</v>
      </c>
      <c r="G24" s="6" t="str">
        <f t="shared" si="4"/>
        <v>54657.4272</v>
      </c>
      <c r="H24" s="4">
        <f t="shared" si="5"/>
        <v>5531</v>
      </c>
      <c r="I24" s="16" t="s">
        <v>147</v>
      </c>
      <c r="J24" s="17" t="s">
        <v>148</v>
      </c>
      <c r="K24" s="16">
        <v>5531</v>
      </c>
      <c r="L24" s="16" t="s">
        <v>149</v>
      </c>
      <c r="M24" s="17" t="s">
        <v>119</v>
      </c>
      <c r="N24" s="17" t="s">
        <v>105</v>
      </c>
      <c r="O24" s="18" t="s">
        <v>130</v>
      </c>
      <c r="P24" s="19" t="s">
        <v>131</v>
      </c>
    </row>
    <row r="25" spans="1:16" ht="12.75" customHeight="1" thickBot="1" x14ac:dyDescent="0.25">
      <c r="A25" s="4" t="str">
        <f t="shared" si="0"/>
        <v>IBVS 5980 </v>
      </c>
      <c r="B25" s="2" t="str">
        <f t="shared" si="1"/>
        <v>I</v>
      </c>
      <c r="C25" s="4">
        <f t="shared" si="2"/>
        <v>55211.602899999998</v>
      </c>
      <c r="D25" s="6" t="str">
        <f t="shared" si="3"/>
        <v>vis</v>
      </c>
      <c r="E25" s="15">
        <f>VLOOKUP(C25,Active!C$21:E$973,3,FALSE)</f>
        <v>8956.9864240259667</v>
      </c>
      <c r="F25" s="2" t="s">
        <v>67</v>
      </c>
      <c r="G25" s="6" t="str">
        <f t="shared" si="4"/>
        <v>55211.6029</v>
      </c>
      <c r="H25" s="4">
        <f t="shared" si="5"/>
        <v>6952</v>
      </c>
      <c r="I25" s="16" t="s">
        <v>150</v>
      </c>
      <c r="J25" s="17" t="s">
        <v>151</v>
      </c>
      <c r="K25" s="16">
        <v>6952</v>
      </c>
      <c r="L25" s="16" t="s">
        <v>152</v>
      </c>
      <c r="M25" s="17" t="s">
        <v>119</v>
      </c>
      <c r="N25" s="17" t="s">
        <v>153</v>
      </c>
      <c r="O25" s="18" t="s">
        <v>130</v>
      </c>
      <c r="P25" s="19" t="s">
        <v>154</v>
      </c>
    </row>
    <row r="26" spans="1:16" ht="12.75" customHeight="1" thickBot="1" x14ac:dyDescent="0.25">
      <c r="A26" s="4" t="str">
        <f t="shared" si="0"/>
        <v>IBVS 5980 </v>
      </c>
      <c r="B26" s="2" t="str">
        <f t="shared" si="1"/>
        <v>I</v>
      </c>
      <c r="C26" s="4">
        <f t="shared" si="2"/>
        <v>55272.449399999998</v>
      </c>
      <c r="D26" s="6" t="str">
        <f t="shared" si="3"/>
        <v>vis</v>
      </c>
      <c r="E26" s="15">
        <f>VLOOKUP(C26,Active!C$21:E$973,3,FALSE)</f>
        <v>9113.0039707916148</v>
      </c>
      <c r="F26" s="2" t="s">
        <v>67</v>
      </c>
      <c r="G26" s="6" t="str">
        <f t="shared" si="4"/>
        <v>55272.4494</v>
      </c>
      <c r="H26" s="4">
        <f t="shared" si="5"/>
        <v>7108</v>
      </c>
      <c r="I26" s="16" t="s">
        <v>155</v>
      </c>
      <c r="J26" s="17" t="s">
        <v>156</v>
      </c>
      <c r="K26" s="16">
        <v>7108</v>
      </c>
      <c r="L26" s="16" t="s">
        <v>157</v>
      </c>
      <c r="M26" s="17" t="s">
        <v>119</v>
      </c>
      <c r="N26" s="17" t="s">
        <v>153</v>
      </c>
      <c r="O26" s="18" t="s">
        <v>130</v>
      </c>
      <c r="P26" s="19" t="s">
        <v>154</v>
      </c>
    </row>
    <row r="27" spans="1:16" ht="12.75" customHeight="1" thickBot="1" x14ac:dyDescent="0.25">
      <c r="A27" s="4" t="str">
        <f t="shared" si="0"/>
        <v>IBVS 5980 </v>
      </c>
      <c r="B27" s="2" t="str">
        <f t="shared" si="1"/>
        <v>II</v>
      </c>
      <c r="C27" s="4">
        <f t="shared" si="2"/>
        <v>55381.453699999998</v>
      </c>
      <c r="D27" s="6" t="str">
        <f t="shared" si="3"/>
        <v>vis</v>
      </c>
      <c r="E27" s="15">
        <f>VLOOKUP(C27,Active!C$21:E$973,3,FALSE)</f>
        <v>9392.5037525852567</v>
      </c>
      <c r="F27" s="2" t="s">
        <v>67</v>
      </c>
      <c r="G27" s="6" t="str">
        <f t="shared" si="4"/>
        <v>55381.4537</v>
      </c>
      <c r="H27" s="4">
        <f t="shared" si="5"/>
        <v>7387.5</v>
      </c>
      <c r="I27" s="16" t="s">
        <v>158</v>
      </c>
      <c r="J27" s="17" t="s">
        <v>159</v>
      </c>
      <c r="K27" s="16">
        <v>7387.5</v>
      </c>
      <c r="L27" s="16" t="s">
        <v>160</v>
      </c>
      <c r="M27" s="17" t="s">
        <v>119</v>
      </c>
      <c r="N27" s="17" t="s">
        <v>153</v>
      </c>
      <c r="O27" s="18" t="s">
        <v>130</v>
      </c>
      <c r="P27" s="19" t="s">
        <v>154</v>
      </c>
    </row>
    <row r="28" spans="1:16" ht="12.75" customHeight="1" thickBot="1" x14ac:dyDescent="0.25">
      <c r="A28" s="4" t="str">
        <f t="shared" si="0"/>
        <v>BAVM 220 </v>
      </c>
      <c r="B28" s="2" t="str">
        <f t="shared" si="1"/>
        <v>II</v>
      </c>
      <c r="C28" s="4">
        <f t="shared" si="2"/>
        <v>55627.541299999997</v>
      </c>
      <c r="D28" s="6" t="str">
        <f t="shared" si="3"/>
        <v>vis</v>
      </c>
      <c r="E28" s="15">
        <f>VLOOKUP(C28,Active!C$21:E$973,3,FALSE)</f>
        <v>10023.501158211646</v>
      </c>
      <c r="F28" s="2" t="s">
        <v>67</v>
      </c>
      <c r="G28" s="6" t="str">
        <f t="shared" si="4"/>
        <v>55627.5413</v>
      </c>
      <c r="H28" s="4">
        <f t="shared" si="5"/>
        <v>8018.5</v>
      </c>
      <c r="I28" s="16" t="s">
        <v>161</v>
      </c>
      <c r="J28" s="17" t="s">
        <v>162</v>
      </c>
      <c r="K28" s="16">
        <v>8018.5</v>
      </c>
      <c r="L28" s="16" t="s">
        <v>163</v>
      </c>
      <c r="M28" s="17" t="s">
        <v>119</v>
      </c>
      <c r="N28" s="17" t="s">
        <v>67</v>
      </c>
      <c r="O28" s="18" t="s">
        <v>164</v>
      </c>
      <c r="P28" s="19" t="s">
        <v>165</v>
      </c>
    </row>
    <row r="29" spans="1:16" ht="12.75" customHeight="1" thickBot="1" x14ac:dyDescent="0.25">
      <c r="A29" s="4" t="str">
        <f t="shared" si="0"/>
        <v>IBVS 6044 </v>
      </c>
      <c r="B29" s="2" t="str">
        <f t="shared" si="1"/>
        <v>I</v>
      </c>
      <c r="C29" s="4">
        <f t="shared" si="2"/>
        <v>55644.515899999999</v>
      </c>
      <c r="D29" s="6" t="str">
        <f t="shared" si="3"/>
        <v>vis</v>
      </c>
      <c r="E29" s="15">
        <f>VLOOKUP(C29,Active!C$21:E$973,3,FALSE)</f>
        <v>10067.02601912112</v>
      </c>
      <c r="F29" s="2" t="s">
        <v>67</v>
      </c>
      <c r="G29" s="6" t="str">
        <f t="shared" si="4"/>
        <v>55644.5159</v>
      </c>
      <c r="H29" s="4">
        <f t="shared" si="5"/>
        <v>8062</v>
      </c>
      <c r="I29" s="16" t="s">
        <v>166</v>
      </c>
      <c r="J29" s="17" t="s">
        <v>167</v>
      </c>
      <c r="K29" s="16">
        <v>8062</v>
      </c>
      <c r="L29" s="16" t="s">
        <v>168</v>
      </c>
      <c r="M29" s="17" t="s">
        <v>119</v>
      </c>
      <c r="N29" s="17" t="s">
        <v>67</v>
      </c>
      <c r="O29" s="18" t="s">
        <v>130</v>
      </c>
      <c r="P29" s="19" t="s">
        <v>169</v>
      </c>
    </row>
    <row r="30" spans="1:16" ht="12.75" customHeight="1" thickBot="1" x14ac:dyDescent="0.25">
      <c r="A30" s="4" t="str">
        <f t="shared" si="0"/>
        <v>IBVS 6044 </v>
      </c>
      <c r="B30" s="2" t="str">
        <f t="shared" si="1"/>
        <v>I</v>
      </c>
      <c r="C30" s="4">
        <f t="shared" si="2"/>
        <v>55662.453500000003</v>
      </c>
      <c r="D30" s="6" t="str">
        <f t="shared" si="3"/>
        <v>vis</v>
      </c>
      <c r="E30" s="15">
        <f>VLOOKUP(C30,Active!C$21:E$973,3,FALSE)</f>
        <v>10113.020124728908</v>
      </c>
      <c r="F30" s="2" t="s">
        <v>67</v>
      </c>
      <c r="G30" s="6" t="str">
        <f t="shared" si="4"/>
        <v>55662.4535</v>
      </c>
      <c r="H30" s="4">
        <f t="shared" si="5"/>
        <v>8108</v>
      </c>
      <c r="I30" s="16" t="s">
        <v>170</v>
      </c>
      <c r="J30" s="17" t="s">
        <v>171</v>
      </c>
      <c r="K30" s="16">
        <v>8108</v>
      </c>
      <c r="L30" s="16" t="s">
        <v>172</v>
      </c>
      <c r="M30" s="17" t="s">
        <v>119</v>
      </c>
      <c r="N30" s="17" t="s">
        <v>67</v>
      </c>
      <c r="O30" s="18" t="s">
        <v>130</v>
      </c>
      <c r="P30" s="19" t="s">
        <v>169</v>
      </c>
    </row>
    <row r="31" spans="1:16" ht="12.75" customHeight="1" thickBot="1" x14ac:dyDescent="0.25">
      <c r="A31" s="4" t="str">
        <f t="shared" si="0"/>
        <v>IBVS 6044 </v>
      </c>
      <c r="B31" s="2" t="str">
        <f t="shared" si="1"/>
        <v>I</v>
      </c>
      <c r="C31" s="4">
        <f t="shared" si="2"/>
        <v>56006.422400000003</v>
      </c>
      <c r="D31" s="6" t="str">
        <f t="shared" si="3"/>
        <v>vis</v>
      </c>
      <c r="E31" s="15">
        <f>VLOOKUP(C31,Active!C$21:E$973,3,FALSE)</f>
        <v>10994.996638442575</v>
      </c>
      <c r="F31" s="2" t="s">
        <v>67</v>
      </c>
      <c r="G31" s="6" t="str">
        <f t="shared" si="4"/>
        <v>56006.4224</v>
      </c>
      <c r="H31" s="4">
        <f t="shared" si="5"/>
        <v>8990</v>
      </c>
      <c r="I31" s="16" t="s">
        <v>173</v>
      </c>
      <c r="J31" s="17" t="s">
        <v>174</v>
      </c>
      <c r="K31" s="16">
        <v>8990</v>
      </c>
      <c r="L31" s="16" t="s">
        <v>175</v>
      </c>
      <c r="M31" s="17" t="s">
        <v>119</v>
      </c>
      <c r="N31" s="17" t="s">
        <v>67</v>
      </c>
      <c r="O31" s="18" t="s">
        <v>130</v>
      </c>
      <c r="P31" s="19" t="s">
        <v>169</v>
      </c>
    </row>
    <row r="32" spans="1:16" ht="12.75" customHeight="1" thickBot="1" x14ac:dyDescent="0.25">
      <c r="A32" s="4" t="str">
        <f t="shared" si="0"/>
        <v>IBVS 6044 </v>
      </c>
      <c r="B32" s="2" t="str">
        <f t="shared" si="1"/>
        <v>I</v>
      </c>
      <c r="C32" s="4">
        <f t="shared" si="2"/>
        <v>56045.417500000003</v>
      </c>
      <c r="D32" s="6" t="str">
        <f t="shared" si="3"/>
        <v>vis</v>
      </c>
      <c r="E32" s="15">
        <f>VLOOKUP(C32,Active!C$21:E$973,3,FALSE)</f>
        <v>11094.984638374883</v>
      </c>
      <c r="F32" s="2" t="s">
        <v>67</v>
      </c>
      <c r="G32" s="6" t="str">
        <f t="shared" si="4"/>
        <v>56045.4175</v>
      </c>
      <c r="H32" s="4">
        <f t="shared" si="5"/>
        <v>9090</v>
      </c>
      <c r="I32" s="16" t="s">
        <v>176</v>
      </c>
      <c r="J32" s="17" t="s">
        <v>177</v>
      </c>
      <c r="K32" s="16">
        <v>9090</v>
      </c>
      <c r="L32" s="16" t="s">
        <v>178</v>
      </c>
      <c r="M32" s="17" t="s">
        <v>119</v>
      </c>
      <c r="N32" s="17" t="s">
        <v>153</v>
      </c>
      <c r="O32" s="18" t="s">
        <v>130</v>
      </c>
      <c r="P32" s="19" t="s">
        <v>169</v>
      </c>
    </row>
    <row r="33" spans="1:16" ht="12.75" customHeight="1" thickBot="1" x14ac:dyDescent="0.25">
      <c r="A33" s="4" t="str">
        <f t="shared" si="0"/>
        <v>IBVS 6044 </v>
      </c>
      <c r="B33" s="2" t="str">
        <f t="shared" si="1"/>
        <v>II</v>
      </c>
      <c r="C33" s="4">
        <f t="shared" si="2"/>
        <v>56046.401599999997</v>
      </c>
      <c r="D33" s="6" t="str">
        <f t="shared" si="3"/>
        <v>vis</v>
      </c>
      <c r="E33" s="15">
        <f>VLOOKUP(C33,Active!C$21:E$973,3,FALSE)</f>
        <v>11097.50798594247</v>
      </c>
      <c r="F33" s="2" t="s">
        <v>67</v>
      </c>
      <c r="G33" s="6" t="str">
        <f t="shared" si="4"/>
        <v>56046.4016</v>
      </c>
      <c r="H33" s="4">
        <f t="shared" si="5"/>
        <v>9092.5</v>
      </c>
      <c r="I33" s="16" t="s">
        <v>179</v>
      </c>
      <c r="J33" s="17" t="s">
        <v>180</v>
      </c>
      <c r="K33" s="16">
        <v>9092.5</v>
      </c>
      <c r="L33" s="16" t="s">
        <v>181</v>
      </c>
      <c r="M33" s="17" t="s">
        <v>119</v>
      </c>
      <c r="N33" s="17" t="s">
        <v>153</v>
      </c>
      <c r="O33" s="18" t="s">
        <v>130</v>
      </c>
      <c r="P33" s="19" t="s">
        <v>169</v>
      </c>
    </row>
    <row r="34" spans="1:16" ht="12.75" customHeight="1" thickBot="1" x14ac:dyDescent="0.25">
      <c r="A34" s="4" t="str">
        <f t="shared" si="0"/>
        <v>IBVS 6092 </v>
      </c>
      <c r="B34" s="2" t="str">
        <f t="shared" si="1"/>
        <v>II</v>
      </c>
      <c r="C34" s="4">
        <f t="shared" si="2"/>
        <v>56303.021999999997</v>
      </c>
      <c r="D34" s="6" t="str">
        <f t="shared" si="3"/>
        <v>vis</v>
      </c>
      <c r="E34" s="15">
        <f>VLOOKUP(C34,Active!C$21:E$973,3,FALSE)</f>
        <v>11755.512723405091</v>
      </c>
      <c r="F34" s="2" t="s">
        <v>67</v>
      </c>
      <c r="G34" s="6" t="str">
        <f t="shared" si="4"/>
        <v>56303.022</v>
      </c>
      <c r="H34" s="4">
        <f t="shared" si="5"/>
        <v>9750.5</v>
      </c>
      <c r="I34" s="16" t="s">
        <v>182</v>
      </c>
      <c r="J34" s="17" t="s">
        <v>183</v>
      </c>
      <c r="K34" s="16">
        <v>9750.5</v>
      </c>
      <c r="L34" s="16" t="s">
        <v>184</v>
      </c>
      <c r="M34" s="17" t="s">
        <v>119</v>
      </c>
      <c r="N34" s="17" t="s">
        <v>153</v>
      </c>
      <c r="O34" s="18" t="s">
        <v>185</v>
      </c>
      <c r="P34" s="19" t="s">
        <v>186</v>
      </c>
    </row>
    <row r="35" spans="1:16" ht="12.75" customHeight="1" thickBot="1" x14ac:dyDescent="0.25">
      <c r="A35" s="4" t="str">
        <f t="shared" si="0"/>
        <v>BAVM 232 </v>
      </c>
      <c r="B35" s="2" t="str">
        <f t="shared" si="1"/>
        <v>II</v>
      </c>
      <c r="C35" s="4">
        <f t="shared" si="2"/>
        <v>56400.515700000004</v>
      </c>
      <c r="D35" s="6" t="str">
        <f t="shared" si="3"/>
        <v>vis</v>
      </c>
      <c r="E35" s="15">
        <f>VLOOKUP(C35,Active!C$21:E$973,3,FALSE)</f>
        <v>12005.497979732194</v>
      </c>
      <c r="F35" s="2" t="s">
        <v>67</v>
      </c>
      <c r="G35" s="6" t="str">
        <f t="shared" si="4"/>
        <v>56400.5157</v>
      </c>
      <c r="H35" s="4">
        <f t="shared" si="5"/>
        <v>10000.5</v>
      </c>
      <c r="I35" s="16" t="s">
        <v>187</v>
      </c>
      <c r="J35" s="17" t="s">
        <v>188</v>
      </c>
      <c r="K35" s="16">
        <v>10000.5</v>
      </c>
      <c r="L35" s="16" t="s">
        <v>189</v>
      </c>
      <c r="M35" s="17" t="s">
        <v>119</v>
      </c>
      <c r="N35" s="17" t="s">
        <v>190</v>
      </c>
      <c r="O35" s="18" t="s">
        <v>164</v>
      </c>
      <c r="P35" s="19" t="s">
        <v>191</v>
      </c>
    </row>
    <row r="36" spans="1:16" ht="12.75" customHeight="1" thickBot="1" x14ac:dyDescent="0.25">
      <c r="A36" s="4" t="str">
        <f t="shared" si="0"/>
        <v>BAVM 238 </v>
      </c>
      <c r="B36" s="2" t="str">
        <f t="shared" si="1"/>
        <v>I</v>
      </c>
      <c r="C36" s="4">
        <f t="shared" si="2"/>
        <v>56729.489699999998</v>
      </c>
      <c r="D36" s="6" t="str">
        <f t="shared" si="3"/>
        <v>vis</v>
      </c>
      <c r="E36" s="15">
        <f>VLOOKUP(C36,Active!C$21:E$973,3,FALSE)</f>
        <v>12849.025815017405</v>
      </c>
      <c r="F36" s="2" t="s">
        <v>67</v>
      </c>
      <c r="G36" s="6" t="str">
        <f t="shared" si="4"/>
        <v>56729.4897</v>
      </c>
      <c r="H36" s="4">
        <f t="shared" si="5"/>
        <v>10844</v>
      </c>
      <c r="I36" s="16" t="s">
        <v>192</v>
      </c>
      <c r="J36" s="17" t="s">
        <v>193</v>
      </c>
      <c r="K36" s="16" t="s">
        <v>194</v>
      </c>
      <c r="L36" s="16" t="s">
        <v>195</v>
      </c>
      <c r="M36" s="17" t="s">
        <v>119</v>
      </c>
      <c r="N36" s="17" t="s">
        <v>105</v>
      </c>
      <c r="O36" s="18" t="s">
        <v>106</v>
      </c>
      <c r="P36" s="19" t="s">
        <v>196</v>
      </c>
    </row>
    <row r="37" spans="1:16" ht="12.75" customHeight="1" thickBot="1" x14ac:dyDescent="0.25">
      <c r="A37" s="4" t="str">
        <f t="shared" si="0"/>
        <v>BAVM 238 </v>
      </c>
      <c r="B37" s="2" t="str">
        <f t="shared" si="1"/>
        <v>II</v>
      </c>
      <c r="C37" s="4">
        <f t="shared" si="2"/>
        <v>56729.654699999999</v>
      </c>
      <c r="D37" s="6" t="str">
        <f t="shared" si="3"/>
        <v>vis</v>
      </c>
      <c r="E37" s="15">
        <f>VLOOKUP(C37,Active!C$21:E$973,3,FALSE)</f>
        <v>12849.448894327084</v>
      </c>
      <c r="F37" s="2" t="s">
        <v>67</v>
      </c>
      <c r="G37" s="6" t="str">
        <f t="shared" si="4"/>
        <v>56729.6547</v>
      </c>
      <c r="H37" s="4">
        <f t="shared" si="5"/>
        <v>10844.5</v>
      </c>
      <c r="I37" s="16" t="s">
        <v>197</v>
      </c>
      <c r="J37" s="17" t="s">
        <v>198</v>
      </c>
      <c r="K37" s="16" t="s">
        <v>199</v>
      </c>
      <c r="L37" s="16" t="s">
        <v>200</v>
      </c>
      <c r="M37" s="17" t="s">
        <v>119</v>
      </c>
      <c r="N37" s="17" t="s">
        <v>105</v>
      </c>
      <c r="O37" s="18" t="s">
        <v>106</v>
      </c>
      <c r="P37" s="19" t="s">
        <v>196</v>
      </c>
    </row>
    <row r="38" spans="1:16" ht="12.75" customHeight="1" thickBot="1" x14ac:dyDescent="0.25">
      <c r="A38" s="4" t="str">
        <f t="shared" si="0"/>
        <v>BAVM 238 </v>
      </c>
      <c r="B38" s="2" t="str">
        <f t="shared" si="1"/>
        <v>II</v>
      </c>
      <c r="C38" s="4">
        <f t="shared" si="2"/>
        <v>56730.456100000003</v>
      </c>
      <c r="D38" s="6" t="str">
        <f t="shared" si="3"/>
        <v>vis</v>
      </c>
      <c r="E38" s="15">
        <f>VLOOKUP(C38,Active!C$21:E$973,3,FALSE)</f>
        <v>12851.503777713617</v>
      </c>
      <c r="F38" s="2" t="s">
        <v>67</v>
      </c>
      <c r="G38" s="6" t="str">
        <f t="shared" si="4"/>
        <v>56730.4561</v>
      </c>
      <c r="H38" s="4">
        <f t="shared" si="5"/>
        <v>10846.5</v>
      </c>
      <c r="I38" s="16" t="s">
        <v>201</v>
      </c>
      <c r="J38" s="17" t="s">
        <v>202</v>
      </c>
      <c r="K38" s="16" t="s">
        <v>203</v>
      </c>
      <c r="L38" s="16" t="s">
        <v>204</v>
      </c>
      <c r="M38" s="17" t="s">
        <v>119</v>
      </c>
      <c r="N38" s="17" t="s">
        <v>105</v>
      </c>
      <c r="O38" s="18" t="s">
        <v>106</v>
      </c>
      <c r="P38" s="19" t="s">
        <v>196</v>
      </c>
    </row>
    <row r="39" spans="1:16" ht="12.75" customHeight="1" thickBot="1" x14ac:dyDescent="0.25">
      <c r="A39" s="4" t="str">
        <f t="shared" si="0"/>
        <v>BAVM 238 </v>
      </c>
      <c r="B39" s="2" t="str">
        <f t="shared" si="1"/>
        <v>I</v>
      </c>
      <c r="C39" s="4">
        <f t="shared" si="2"/>
        <v>56730.6515</v>
      </c>
      <c r="D39" s="6" t="str">
        <f t="shared" si="3"/>
        <v>vis</v>
      </c>
      <c r="E39" s="15">
        <f>VLOOKUP(C39,Active!C$21:E$973,3,FALSE)</f>
        <v>12852.004806180948</v>
      </c>
      <c r="F39" s="2" t="s">
        <v>67</v>
      </c>
      <c r="G39" s="6" t="str">
        <f t="shared" si="4"/>
        <v>56730.6515</v>
      </c>
      <c r="H39" s="4">
        <f t="shared" si="5"/>
        <v>10847</v>
      </c>
      <c r="I39" s="16" t="s">
        <v>205</v>
      </c>
      <c r="J39" s="17" t="s">
        <v>206</v>
      </c>
      <c r="K39" s="16" t="s">
        <v>207</v>
      </c>
      <c r="L39" s="16" t="s">
        <v>189</v>
      </c>
      <c r="M39" s="17" t="s">
        <v>119</v>
      </c>
      <c r="N39" s="17" t="s">
        <v>105</v>
      </c>
      <c r="O39" s="18" t="s">
        <v>106</v>
      </c>
      <c r="P39" s="19" t="s">
        <v>196</v>
      </c>
    </row>
    <row r="40" spans="1:16" ht="12.75" customHeight="1" thickBot="1" x14ac:dyDescent="0.25">
      <c r="A40" s="4" t="str">
        <f t="shared" si="0"/>
        <v>VSB 43 </v>
      </c>
      <c r="B40" s="2" t="str">
        <f t="shared" si="1"/>
        <v>II</v>
      </c>
      <c r="C40" s="4">
        <f t="shared" si="2"/>
        <v>53124.142200000002</v>
      </c>
      <c r="D40" s="6" t="str">
        <f t="shared" si="3"/>
        <v>vis</v>
      </c>
      <c r="E40" s="15">
        <f>VLOOKUP(C40,Active!C$21:E$973,3,FALSE)</f>
        <v>3604.4928971394156</v>
      </c>
      <c r="F40" s="2" t="s">
        <v>67</v>
      </c>
      <c r="G40" s="6" t="str">
        <f t="shared" si="4"/>
        <v>53124.1422</v>
      </c>
      <c r="H40" s="4">
        <f t="shared" si="5"/>
        <v>1599.5</v>
      </c>
      <c r="I40" s="16" t="s">
        <v>92</v>
      </c>
      <c r="J40" s="17" t="s">
        <v>93</v>
      </c>
      <c r="K40" s="16">
        <v>1599.5</v>
      </c>
      <c r="L40" s="16" t="s">
        <v>94</v>
      </c>
      <c r="M40" s="17" t="s">
        <v>72</v>
      </c>
      <c r="N40" s="17" t="s">
        <v>73</v>
      </c>
      <c r="O40" s="18" t="s">
        <v>95</v>
      </c>
      <c r="P40" s="19" t="s">
        <v>96</v>
      </c>
    </row>
    <row r="41" spans="1:16" ht="12.75" customHeight="1" thickBot="1" x14ac:dyDescent="0.25">
      <c r="A41" s="4" t="str">
        <f t="shared" si="0"/>
        <v>VSB 45 </v>
      </c>
      <c r="B41" s="2" t="str">
        <f t="shared" si="1"/>
        <v>I</v>
      </c>
      <c r="C41" s="4">
        <f t="shared" si="2"/>
        <v>53834.134700000002</v>
      </c>
      <c r="D41" s="6" t="str">
        <f t="shared" si="3"/>
        <v>vis</v>
      </c>
      <c r="E41" s="15">
        <f>VLOOKUP(C41,Active!C$21:E$973,3,FALSE)</f>
        <v>5424.9967563919563</v>
      </c>
      <c r="F41" s="2" t="s">
        <v>67</v>
      </c>
      <c r="G41" s="6" t="str">
        <f t="shared" si="4"/>
        <v>53834.1347</v>
      </c>
      <c r="H41" s="4">
        <f t="shared" si="5"/>
        <v>3420</v>
      </c>
      <c r="I41" s="16" t="s">
        <v>108</v>
      </c>
      <c r="J41" s="17" t="s">
        <v>109</v>
      </c>
      <c r="K41" s="16">
        <v>3420</v>
      </c>
      <c r="L41" s="16" t="s">
        <v>110</v>
      </c>
      <c r="M41" s="17" t="s">
        <v>72</v>
      </c>
      <c r="N41" s="17" t="s">
        <v>73</v>
      </c>
      <c r="O41" s="18" t="s">
        <v>111</v>
      </c>
      <c r="P41" s="19" t="s">
        <v>112</v>
      </c>
    </row>
    <row r="42" spans="1:16" ht="12.75" customHeight="1" thickBot="1" x14ac:dyDescent="0.25">
      <c r="A42" s="4" t="str">
        <f t="shared" si="0"/>
        <v>VSB 45 </v>
      </c>
      <c r="B42" s="2" t="str">
        <f t="shared" si="1"/>
        <v>II</v>
      </c>
      <c r="C42" s="4">
        <f t="shared" si="2"/>
        <v>53867.105799999998</v>
      </c>
      <c r="D42" s="6" t="str">
        <f t="shared" si="3"/>
        <v>vis</v>
      </c>
      <c r="E42" s="15">
        <f>VLOOKUP(C42,Active!C$21:E$973,3,FALSE)</f>
        <v>5509.5385153454554</v>
      </c>
      <c r="F42" s="2" t="s">
        <v>67</v>
      </c>
      <c r="G42" s="6" t="str">
        <f t="shared" si="4"/>
        <v>53867.1058</v>
      </c>
      <c r="H42" s="4">
        <f t="shared" si="5"/>
        <v>3504.5</v>
      </c>
      <c r="I42" s="16" t="s">
        <v>113</v>
      </c>
      <c r="J42" s="17" t="s">
        <v>114</v>
      </c>
      <c r="K42" s="16">
        <v>3504.5</v>
      </c>
      <c r="L42" s="16" t="s">
        <v>115</v>
      </c>
      <c r="M42" s="17" t="s">
        <v>72</v>
      </c>
      <c r="N42" s="17" t="s">
        <v>73</v>
      </c>
      <c r="O42" s="18" t="s">
        <v>111</v>
      </c>
      <c r="P42" s="19" t="s">
        <v>112</v>
      </c>
    </row>
    <row r="43" spans="1:16" ht="12.75" customHeight="1" thickBot="1" x14ac:dyDescent="0.25">
      <c r="A43" s="4" t="str">
        <f t="shared" si="0"/>
        <v>VSB 48 </v>
      </c>
      <c r="B43" s="2" t="str">
        <f t="shared" si="1"/>
        <v>I</v>
      </c>
      <c r="C43" s="4">
        <f t="shared" si="2"/>
        <v>54562.271200000003</v>
      </c>
      <c r="D43" s="6" t="str">
        <f t="shared" si="3"/>
        <v>vis</v>
      </c>
      <c r="E43" s="15">
        <f>VLOOKUP(C43,Active!C$21:E$973,3,FALSE)</f>
        <v>7292.0239550069236</v>
      </c>
      <c r="F43" s="2" t="s">
        <v>67</v>
      </c>
      <c r="G43" s="6" t="str">
        <f t="shared" si="4"/>
        <v>54562.2712</v>
      </c>
      <c r="H43" s="4">
        <f t="shared" si="5"/>
        <v>5287</v>
      </c>
      <c r="I43" s="16" t="s">
        <v>132</v>
      </c>
      <c r="J43" s="17" t="s">
        <v>133</v>
      </c>
      <c r="K43" s="16">
        <v>5287</v>
      </c>
      <c r="L43" s="16" t="s">
        <v>134</v>
      </c>
      <c r="M43" s="17" t="s">
        <v>119</v>
      </c>
      <c r="N43" s="17" t="s">
        <v>135</v>
      </c>
      <c r="O43" s="18" t="s">
        <v>136</v>
      </c>
      <c r="P43" s="19" t="s">
        <v>137</v>
      </c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</sheetData>
  <phoneticPr fontId="8" type="noConversion"/>
  <hyperlinks>
    <hyperlink ref="A3" r:id="rId1" xr:uid="{00000000-0004-0000-0100-000000000000}"/>
    <hyperlink ref="P11" r:id="rId2" display="http://www.konkoly.hu/cgi-bin/IBVS?5341" xr:uid="{00000000-0004-0000-0100-000001000000}"/>
    <hyperlink ref="P12" r:id="rId3" display="http://www.konkoly.hu/cgi-bin/IBVS?5341" xr:uid="{00000000-0004-0000-0100-000002000000}"/>
    <hyperlink ref="P13" r:id="rId4" display="http://www.konkoly.hu/cgi-bin/IBVS?5380" xr:uid="{00000000-0004-0000-0100-000003000000}"/>
    <hyperlink ref="P14" r:id="rId5" display="http://www.konkoly.hu/cgi-bin/IBVS?5380" xr:uid="{00000000-0004-0000-0100-000004000000}"/>
    <hyperlink ref="P15" r:id="rId6" display="http://www.konkoly.hu/cgi-bin/IBVS?5668" xr:uid="{00000000-0004-0000-0100-000005000000}"/>
    <hyperlink ref="P40" r:id="rId7" display="http://vsolj.cetus-net.org/no43.pdf" xr:uid="{00000000-0004-0000-0100-000006000000}"/>
    <hyperlink ref="P16" r:id="rId8" display="http://www.konkoly.hu/cgi-bin/IBVS?5592" xr:uid="{00000000-0004-0000-0100-000007000000}"/>
    <hyperlink ref="P17" r:id="rId9" display="http://www.bav-astro.de/sfs/BAVM_link.php?BAVMnr=173" xr:uid="{00000000-0004-0000-0100-000008000000}"/>
    <hyperlink ref="P41" r:id="rId10" display="http://vsolj.cetus-net.org/no45.pdf" xr:uid="{00000000-0004-0000-0100-000009000000}"/>
    <hyperlink ref="P42" r:id="rId11" display="http://vsolj.cetus-net.org/no45.pdf" xr:uid="{00000000-0004-0000-0100-00000A000000}"/>
    <hyperlink ref="P18" r:id="rId12" display="http://www.konkoly.hu/cgi-bin/IBVS?5814" xr:uid="{00000000-0004-0000-0100-00000B000000}"/>
    <hyperlink ref="P19" r:id="rId13" display="http://www.bav-astro.de/sfs/BAVM_link.php?BAVMnr=186" xr:uid="{00000000-0004-0000-0100-00000C000000}"/>
    <hyperlink ref="P20" r:id="rId14" display="http://www.konkoly.hu/cgi-bin/IBVS?5898" xr:uid="{00000000-0004-0000-0100-00000D000000}"/>
    <hyperlink ref="P43" r:id="rId15" display="http://vsolj.cetus-net.org/no48.pdf" xr:uid="{00000000-0004-0000-0100-00000E000000}"/>
    <hyperlink ref="P21" r:id="rId16" display="http://www.konkoly.hu/cgi-bin/IBVS?5898" xr:uid="{00000000-0004-0000-0100-00000F000000}"/>
    <hyperlink ref="P22" r:id="rId17" display="http://www.konkoly.hu/cgi-bin/IBVS?5898" xr:uid="{00000000-0004-0000-0100-000010000000}"/>
    <hyperlink ref="P23" r:id="rId18" display="http://www.konkoly.hu/cgi-bin/IBVS?5898" xr:uid="{00000000-0004-0000-0100-000011000000}"/>
    <hyperlink ref="P24" r:id="rId19" display="http://www.konkoly.hu/cgi-bin/IBVS?5898" xr:uid="{00000000-0004-0000-0100-000012000000}"/>
    <hyperlink ref="P25" r:id="rId20" display="http://www.konkoly.hu/cgi-bin/IBVS?5980" xr:uid="{00000000-0004-0000-0100-000013000000}"/>
    <hyperlink ref="P26" r:id="rId21" display="http://www.konkoly.hu/cgi-bin/IBVS?5980" xr:uid="{00000000-0004-0000-0100-000014000000}"/>
    <hyperlink ref="P27" r:id="rId22" display="http://www.konkoly.hu/cgi-bin/IBVS?5980" xr:uid="{00000000-0004-0000-0100-000015000000}"/>
    <hyperlink ref="P28" r:id="rId23" display="http://www.bav-astro.de/sfs/BAVM_link.php?BAVMnr=220" xr:uid="{00000000-0004-0000-0100-000016000000}"/>
    <hyperlink ref="P29" r:id="rId24" display="http://www.konkoly.hu/cgi-bin/IBVS?6044" xr:uid="{00000000-0004-0000-0100-000017000000}"/>
    <hyperlink ref="P30" r:id="rId25" display="http://www.konkoly.hu/cgi-bin/IBVS?6044" xr:uid="{00000000-0004-0000-0100-000018000000}"/>
    <hyperlink ref="P31" r:id="rId26" display="http://www.konkoly.hu/cgi-bin/IBVS?6044" xr:uid="{00000000-0004-0000-0100-000019000000}"/>
    <hyperlink ref="P32" r:id="rId27" display="http://www.konkoly.hu/cgi-bin/IBVS?6044" xr:uid="{00000000-0004-0000-0100-00001A000000}"/>
    <hyperlink ref="P33" r:id="rId28" display="http://www.konkoly.hu/cgi-bin/IBVS?6044" xr:uid="{00000000-0004-0000-0100-00001B000000}"/>
    <hyperlink ref="P34" r:id="rId29" display="http://www.konkoly.hu/cgi-bin/IBVS?6092" xr:uid="{00000000-0004-0000-0100-00001C000000}"/>
    <hyperlink ref="P35" r:id="rId30" display="http://www.bav-astro.de/sfs/BAVM_link.php?BAVMnr=232" xr:uid="{00000000-0004-0000-0100-00001D000000}"/>
    <hyperlink ref="P36" r:id="rId31" display="http://www.bav-astro.de/sfs/BAVM_link.php?BAVMnr=238" xr:uid="{00000000-0004-0000-0100-00001E000000}"/>
    <hyperlink ref="P37" r:id="rId32" display="http://www.bav-astro.de/sfs/BAVM_link.php?BAVMnr=238" xr:uid="{00000000-0004-0000-0100-00001F000000}"/>
    <hyperlink ref="P38" r:id="rId33" display="http://www.bav-astro.de/sfs/BAVM_link.php?BAVMnr=238" xr:uid="{00000000-0004-0000-0100-000020000000}"/>
    <hyperlink ref="P39" r:id="rId34" display="http://www.bav-astro.de/sfs/BAVM_link.php?BAVMnr=238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2024-01-04T06:43:37Z</dcterms:modified>
</cp:coreProperties>
</file>