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4CD51EC-926F-4CE2-BF2B-77ABBB4E87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9" i="1"/>
  <c r="F29" i="1"/>
  <c r="G29" i="1"/>
  <c r="I29" i="1"/>
  <c r="E64" i="1"/>
  <c r="F64" i="1"/>
  <c r="G64" i="1"/>
  <c r="K64" i="1"/>
  <c r="E65" i="1"/>
  <c r="F65" i="1"/>
  <c r="G65" i="1"/>
  <c r="K65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K48" i="1"/>
  <c r="E49" i="1"/>
  <c r="F49" i="1"/>
  <c r="G49" i="1"/>
  <c r="J49" i="1"/>
  <c r="E50" i="1"/>
  <c r="F50" i="1"/>
  <c r="G50" i="1"/>
  <c r="K50" i="1"/>
  <c r="E51" i="1"/>
  <c r="F51" i="1"/>
  <c r="G51" i="1"/>
  <c r="J51" i="1"/>
  <c r="E52" i="1"/>
  <c r="F52" i="1"/>
  <c r="G52" i="1"/>
  <c r="J52" i="1"/>
  <c r="E53" i="1"/>
  <c r="F53" i="1"/>
  <c r="G53" i="1"/>
  <c r="I53" i="1"/>
  <c r="E54" i="1"/>
  <c r="F54" i="1"/>
  <c r="G54" i="1"/>
  <c r="K54" i="1"/>
  <c r="E55" i="1"/>
  <c r="F55" i="1"/>
  <c r="G55" i="1"/>
  <c r="K55" i="1"/>
  <c r="E56" i="1"/>
  <c r="F56" i="1"/>
  <c r="G56" i="1"/>
  <c r="J56" i="1"/>
  <c r="E57" i="1"/>
  <c r="F57" i="1"/>
  <c r="G57" i="1"/>
  <c r="J57" i="1"/>
  <c r="E58" i="1"/>
  <c r="F58" i="1"/>
  <c r="G58" i="1"/>
  <c r="K58" i="1"/>
  <c r="E59" i="1"/>
  <c r="F59" i="1"/>
  <c r="G59" i="1"/>
  <c r="J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6" i="1"/>
  <c r="F66" i="1"/>
  <c r="G66" i="1"/>
  <c r="L66" i="1"/>
  <c r="E67" i="1"/>
  <c r="F67" i="1"/>
  <c r="G67" i="1"/>
  <c r="L67" i="1"/>
  <c r="E68" i="1"/>
  <c r="F68" i="1"/>
  <c r="G68" i="1"/>
  <c r="K68" i="1"/>
  <c r="E69" i="1"/>
  <c r="F69" i="1"/>
  <c r="G69" i="1"/>
  <c r="K69" i="1"/>
  <c r="E70" i="1"/>
  <c r="F70" i="1"/>
  <c r="G70" i="1"/>
  <c r="K70" i="1"/>
  <c r="Q21" i="1"/>
  <c r="Q29" i="1"/>
  <c r="Q64" i="1"/>
  <c r="Q65" i="1"/>
  <c r="E22" i="1"/>
  <c r="F12" i="3"/>
  <c r="E23" i="1"/>
  <c r="F13" i="3"/>
  <c r="E24" i="1"/>
  <c r="F14" i="3"/>
  <c r="E25" i="1"/>
  <c r="F15" i="3"/>
  <c r="E26" i="1"/>
  <c r="F16" i="3"/>
  <c r="E27" i="1"/>
  <c r="F17" i="3"/>
  <c r="E28" i="1"/>
  <c r="F18" i="3"/>
  <c r="F19" i="3"/>
  <c r="E30" i="1"/>
  <c r="F20" i="3"/>
  <c r="E31" i="1"/>
  <c r="F21" i="3"/>
  <c r="E32" i="1"/>
  <c r="F22" i="3"/>
  <c r="E33" i="1"/>
  <c r="F23" i="3"/>
  <c r="E34" i="1"/>
  <c r="F24" i="3"/>
  <c r="E35" i="1"/>
  <c r="F25" i="3"/>
  <c r="E36" i="1"/>
  <c r="F26" i="3"/>
  <c r="E37" i="1"/>
  <c r="F27" i="3"/>
  <c r="E38" i="1"/>
  <c r="F28" i="3"/>
  <c r="E39" i="1"/>
  <c r="F29" i="3"/>
  <c r="E40" i="1"/>
  <c r="F30" i="3"/>
  <c r="E41" i="1"/>
  <c r="F31" i="3"/>
  <c r="E42" i="1"/>
  <c r="F32" i="3"/>
  <c r="E43" i="1"/>
  <c r="F33" i="3"/>
  <c r="E44" i="1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9" i="3"/>
  <c r="F50" i="3"/>
  <c r="F51" i="3"/>
  <c r="F52" i="3"/>
  <c r="F11" i="3"/>
  <c r="Q67" i="1"/>
  <c r="Q68" i="1"/>
  <c r="Q69" i="1"/>
  <c r="Q70" i="1"/>
  <c r="Q62" i="1"/>
  <c r="Q63" i="1"/>
  <c r="F42" i="1"/>
  <c r="G42" i="1"/>
  <c r="K42" i="1"/>
  <c r="F39" i="1"/>
  <c r="G39" i="1"/>
  <c r="J39" i="1"/>
  <c r="F40" i="1"/>
  <c r="G40" i="1"/>
  <c r="J40" i="1"/>
  <c r="F43" i="1"/>
  <c r="G43" i="1"/>
  <c r="J43" i="1"/>
  <c r="F44" i="1"/>
  <c r="G44" i="1"/>
  <c r="J44" i="1"/>
  <c r="F30" i="1"/>
  <c r="G30" i="1"/>
  <c r="I30" i="1"/>
  <c r="F31" i="1"/>
  <c r="G31" i="1"/>
  <c r="K31" i="1"/>
  <c r="F32" i="1"/>
  <c r="G32" i="1"/>
  <c r="K32" i="1"/>
  <c r="F36" i="1"/>
  <c r="G36" i="1"/>
  <c r="L36" i="1"/>
  <c r="F35" i="1"/>
  <c r="G35" i="1"/>
  <c r="K35" i="1"/>
  <c r="F38" i="1"/>
  <c r="G38" i="1"/>
  <c r="K38" i="1"/>
  <c r="F34" i="1"/>
  <c r="G34" i="1"/>
  <c r="J34" i="1"/>
  <c r="F22" i="1"/>
  <c r="G22" i="1"/>
  <c r="K22" i="1"/>
  <c r="F23" i="1"/>
  <c r="G23" i="1"/>
  <c r="K23" i="1"/>
  <c r="F24" i="1"/>
  <c r="G24" i="1"/>
  <c r="K24" i="1"/>
  <c r="F25" i="1"/>
  <c r="G25" i="1"/>
  <c r="K25" i="1"/>
  <c r="F26" i="1"/>
  <c r="G26" i="1"/>
  <c r="K26" i="1"/>
  <c r="F27" i="1"/>
  <c r="G27" i="1"/>
  <c r="K27" i="1"/>
  <c r="F28" i="1"/>
  <c r="G28" i="1"/>
  <c r="K28" i="1"/>
  <c r="D9" i="1"/>
  <c r="C9" i="1"/>
  <c r="Q22" i="1"/>
  <c r="Q23" i="1"/>
  <c r="Q24" i="1"/>
  <c r="Q25" i="1"/>
  <c r="Q26" i="1"/>
  <c r="Q27" i="1"/>
  <c r="Q28" i="1"/>
  <c r="Q42" i="1"/>
  <c r="Q53" i="1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49" i="2"/>
  <c r="C49" i="2"/>
  <c r="E49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48" i="2"/>
  <c r="C48" i="2"/>
  <c r="E48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49" i="2"/>
  <c r="B49" i="2"/>
  <c r="D49" i="2"/>
  <c r="A49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48" i="2"/>
  <c r="D48" i="2"/>
  <c r="B48" i="2"/>
  <c r="A48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Q66" i="1"/>
  <c r="Q51" i="1"/>
  <c r="Q59" i="1"/>
  <c r="Q60" i="1"/>
  <c r="Q61" i="1"/>
  <c r="Q45" i="1"/>
  <c r="Q46" i="1"/>
  <c r="Q47" i="1"/>
  <c r="Q49" i="1"/>
  <c r="Q52" i="1"/>
  <c r="Q55" i="1"/>
  <c r="Q56" i="1"/>
  <c r="Q57" i="1"/>
  <c r="Q58" i="1"/>
  <c r="Q54" i="1"/>
  <c r="F16" i="1"/>
  <c r="Q50" i="1"/>
  <c r="Q48" i="1"/>
  <c r="Q44" i="1"/>
  <c r="Q43" i="1"/>
  <c r="C17" i="1"/>
  <c r="Q37" i="1"/>
  <c r="Q39" i="1"/>
  <c r="Q40" i="1"/>
  <c r="Q41" i="1"/>
  <c r="Q34" i="1"/>
  <c r="Q38" i="1"/>
  <c r="Q35" i="1"/>
  <c r="Q36" i="1"/>
  <c r="Q30" i="1"/>
  <c r="Q33" i="1"/>
  <c r="Q31" i="1"/>
  <c r="Q32" i="1"/>
  <c r="F48" i="3"/>
  <c r="F33" i="1"/>
  <c r="G33" i="1"/>
  <c r="K33" i="1"/>
  <c r="F37" i="1"/>
  <c r="G37" i="1"/>
  <c r="J37" i="1"/>
  <c r="F41" i="1"/>
  <c r="G41" i="1"/>
  <c r="L41" i="1"/>
  <c r="C11" i="1"/>
  <c r="C12" i="1"/>
  <c r="C16" i="1" l="1"/>
  <c r="D18" i="1" s="1"/>
  <c r="O67" i="1"/>
  <c r="O47" i="1"/>
  <c r="O48" i="1"/>
  <c r="O41" i="1"/>
  <c r="O56" i="1"/>
  <c r="O64" i="1"/>
  <c r="O61" i="1"/>
  <c r="O31" i="1"/>
  <c r="O54" i="1"/>
  <c r="O37" i="1"/>
  <c r="O44" i="1"/>
  <c r="O69" i="1"/>
  <c r="O25" i="1"/>
  <c r="O21" i="1"/>
  <c r="O68" i="1"/>
  <c r="O49" i="1"/>
  <c r="O52" i="1"/>
  <c r="O60" i="1"/>
  <c r="O53" i="1"/>
  <c r="O38" i="1"/>
  <c r="O24" i="1"/>
  <c r="O39" i="1"/>
  <c r="O29" i="1"/>
  <c r="O22" i="1"/>
  <c r="O62" i="1"/>
  <c r="O32" i="1"/>
  <c r="O26" i="1"/>
  <c r="O45" i="1"/>
  <c r="O65" i="1"/>
  <c r="O57" i="1"/>
  <c r="O28" i="1"/>
  <c r="O35" i="1"/>
  <c r="O36" i="1"/>
  <c r="O23" i="1"/>
  <c r="O43" i="1"/>
  <c r="O34" i="1"/>
  <c r="O70" i="1"/>
  <c r="O55" i="1"/>
  <c r="O40" i="1"/>
  <c r="O33" i="1"/>
  <c r="O63" i="1"/>
  <c r="O30" i="1"/>
  <c r="O42" i="1"/>
  <c r="O59" i="1"/>
  <c r="O27" i="1"/>
  <c r="O66" i="1"/>
  <c r="O46" i="1"/>
  <c r="C15" i="1"/>
  <c r="F18" i="1" s="1"/>
  <c r="O50" i="1"/>
  <c r="O51" i="1"/>
  <c r="O58" i="1"/>
  <c r="F17" i="1"/>
  <c r="C18" i="1" l="1"/>
  <c r="F19" i="1"/>
</calcChain>
</file>

<file path=xl/sharedStrings.xml><?xml version="1.0" encoding="utf-8"?>
<sst xmlns="http://schemas.openxmlformats.org/spreadsheetml/2006/main" count="538" uniqueCount="275">
  <si>
    <t>IBVS 6196</t>
  </si>
  <si>
    <t>Checked by ToMcat 2017-11-22 -- VERY definite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</si>
  <si>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</si>
  <si>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</si>
  <si>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</si>
  <si>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</si>
  <si>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</si>
  <si>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</si>
  <si>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</si>
  <si>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</si>
  <si>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</si>
  <si>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</si>
  <si>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</si>
  <si>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</si>
  <si>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</si>
  <si>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</si>
  <si>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</si>
  <si>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</si>
  <si>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</si>
  <si>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</si>
  <si>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</si>
  <si>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</si>
  <si>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</si>
  <si>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</si>
  <si>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</si>
  <si>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</si>
  <si>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5543</t>
  </si>
  <si>
    <t>I</t>
  </si>
  <si>
    <t>EW</t>
  </si>
  <si>
    <t># of data points:</t>
  </si>
  <si>
    <t>GQ Boo / GSC 02020-00736</t>
  </si>
  <si>
    <t>IBVS 5438</t>
  </si>
  <si>
    <t>IBVS 5653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</si>
  <si>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</si>
  <si>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</si>
  <si>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</si>
  <si>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</si>
  <si>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</si>
  <si>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</si>
  <si>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</si>
  <si>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</si>
  <si>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IBVS 5802</t>
  </si>
  <si>
    <t>Start of linear fit &gt;&gt;&gt;&gt;&gt;&gt;&gt;&gt;&gt;&gt;&gt;&gt;&gt;&gt;&gt;&gt;&gt;&gt;&gt;&gt;&gt;</t>
  </si>
  <si>
    <t>IBVS 5875</t>
  </si>
  <si>
    <t>IBVS 5874</t>
  </si>
  <si>
    <t>IBVS 5894</t>
  </si>
  <si>
    <t>IBVS 5820</t>
  </si>
  <si>
    <t>IBVS 5920</t>
  </si>
  <si>
    <t>Add cycle</t>
  </si>
  <si>
    <t>Old Cycle</t>
  </si>
  <si>
    <t>IBVS 5960</t>
  </si>
  <si>
    <t>IBVS 5918</t>
  </si>
  <si>
    <t>IBVS 5959</t>
  </si>
  <si>
    <t>IBVS 5992</t>
  </si>
  <si>
    <t>IBVS 6010</t>
  </si>
  <si>
    <t>IBVS 6029</t>
  </si>
  <si>
    <t>IBVS 6048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</si>
  <si>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</si>
  <si>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</si>
  <si>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</si>
  <si>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</si>
  <si>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</si>
  <si>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</si>
  <si>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</si>
  <si>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</si>
  <si>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</si>
  <si>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</si>
  <si>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</si>
  <si>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</si>
  <si>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</si>
  <si>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2451996.5626 </t>
  </si>
  <si>
    <t> 28.03.2001 01:30 </t>
  </si>
  <si>
    <t> -0.0090 </t>
  </si>
  <si>
    <t>E </t>
  </si>
  <si>
    <t>?</t>
  </si>
  <si>
    <t> E.Blättler </t>
  </si>
  <si>
    <t> BBS 125 </t>
  </si>
  <si>
    <t>2452001.3714 </t>
  </si>
  <si>
    <t> 01.04.2001 20:54 </t>
  </si>
  <si>
    <t> -0.0082 </t>
  </si>
  <si>
    <t>2452001.5659 </t>
  </si>
  <si>
    <t> 02.04.2001 01:34 </t>
  </si>
  <si>
    <t> -0.0060 </t>
  </si>
  <si>
    <t>2452022.346 </t>
  </si>
  <si>
    <t> 22.04.2001 20:18 </t>
  </si>
  <si>
    <t> 0.004 </t>
  </si>
  <si>
    <t>2452022.5294 </t>
  </si>
  <si>
    <t> 23.04.2001 00:42 </t>
  </si>
  <si>
    <t> -0.0053 </t>
  </si>
  <si>
    <t>2452041.5649 </t>
  </si>
  <si>
    <t> 12.05.2001 01:33 </t>
  </si>
  <si>
    <t> -0.0095 </t>
  </si>
  <si>
    <t>2452367.3593 </t>
  </si>
  <si>
    <t> 02.04.2002 20:37 </t>
  </si>
  <si>
    <t> -0.0048 </t>
  </si>
  <si>
    <t> BBS 128 </t>
  </si>
  <si>
    <t>2452763.347 </t>
  </si>
  <si>
    <t> 03.05.2003 20:19 </t>
  </si>
  <si>
    <t> BBS 129 </t>
  </si>
  <si>
    <t>2452839.5053 </t>
  </si>
  <si>
    <t> 19.07.2003 00:07 </t>
  </si>
  <si>
    <t> -0.0037 </t>
  </si>
  <si>
    <t> BBS 130 </t>
  </si>
  <si>
    <t>2453081.451 </t>
  </si>
  <si>
    <t> 16.03.2004 22:49 </t>
  </si>
  <si>
    <t>2453445.510 </t>
  </si>
  <si>
    <t> 16.03.2005 00:14 </t>
  </si>
  <si>
    <t> 0.001 </t>
  </si>
  <si>
    <t> BBS 131 (=IBVS 5653) </t>
  </si>
  <si>
    <t>2453863.4199 </t>
  </si>
  <si>
    <t> 07.05.2006 22:04 </t>
  </si>
  <si>
    <t> 0.0005 </t>
  </si>
  <si>
    <t>C </t>
  </si>
  <si>
    <t>o</t>
  </si>
  <si>
    <t> W.Moschner </t>
  </si>
  <si>
    <t>BAVM 183 </t>
  </si>
  <si>
    <t>2453936.493 </t>
  </si>
  <si>
    <t> 19.07.2006 23:49 </t>
  </si>
  <si>
    <t> -0.008 </t>
  </si>
  <si>
    <t>R</t>
  </si>
  <si>
    <t> BBS 133 (=IBVS 5781) </t>
  </si>
  <si>
    <t>2454161.902 </t>
  </si>
  <si>
    <t> 02.03.2007 09:38 </t>
  </si>
  <si>
    <t> 0.002 </t>
  </si>
  <si>
    <t> R.Nelson </t>
  </si>
  <si>
    <t>IBVS 5820 </t>
  </si>
  <si>
    <t>2454186.5145 </t>
  </si>
  <si>
    <t> 27.03.2007 00:20 </t>
  </si>
  <si>
    <t> -0.0021 </t>
  </si>
  <si>
    <t>-I</t>
  </si>
  <si>
    <t> F.Agerer </t>
  </si>
  <si>
    <t>BAVM 186 </t>
  </si>
  <si>
    <t>2454197.4751 </t>
  </si>
  <si>
    <t> 06.04.2007 23:24 </t>
  </si>
  <si>
    <t>4412.5</t>
  </si>
  <si>
    <t>2454201.5208 </t>
  </si>
  <si>
    <t> 11.04.2007 00:29 </t>
  </si>
  <si>
    <t>4423</t>
  </si>
  <si>
    <t> 0.0033 </t>
  </si>
  <si>
    <t>2454213.4402 </t>
  </si>
  <si>
    <t> 22.04.2007 22:33 </t>
  </si>
  <si>
    <t>4454</t>
  </si>
  <si>
    <t> -0.0011 </t>
  </si>
  <si>
    <t>2454520.9612 </t>
  </si>
  <si>
    <t> 24.02.2008 11:04 </t>
  </si>
  <si>
    <t>5253.5</t>
  </si>
  <si>
    <t> 0.0006 </t>
  </si>
  <si>
    <t>IBVS 5875 </t>
  </si>
  <si>
    <t>2454565.1953 </t>
  </si>
  <si>
    <t> 08.04.2008 16:41 </t>
  </si>
  <si>
    <t>5368.5</t>
  </si>
  <si>
    <t> 0.0011 </t>
  </si>
  <si>
    <t> K.Nakajima </t>
  </si>
  <si>
    <t>VSB 48 </t>
  </si>
  <si>
    <t>2454570.3868 </t>
  </si>
  <si>
    <t> 13.04.2008 21:16 </t>
  </si>
  <si>
    <t>5382</t>
  </si>
  <si>
    <t> 0.0000 </t>
  </si>
  <si>
    <t>BAVM 201 </t>
  </si>
  <si>
    <t>2454570.5796 </t>
  </si>
  <si>
    <t> 14.04.2008 01:54 </t>
  </si>
  <si>
    <t>5382.5</t>
  </si>
  <si>
    <t>2454908.4847 </t>
  </si>
  <si>
    <t> 17.03.2009 23:37 </t>
  </si>
  <si>
    <t>6261</t>
  </si>
  <si>
    <t> -0.0002 </t>
  </si>
  <si>
    <t> W.Moschner &amp; P.Frank </t>
  </si>
  <si>
    <t>BAVM 209 </t>
  </si>
  <si>
    <t>2454933.4866 </t>
  </si>
  <si>
    <t> 11.04.2009 23:40 </t>
  </si>
  <si>
    <t>6326</t>
  </si>
  <si>
    <t> 0.0001 </t>
  </si>
  <si>
    <t>2454945.4105 </t>
  </si>
  <si>
    <t> 23.04.2009 21:51 </t>
  </si>
  <si>
    <t>6357</t>
  </si>
  <si>
    <t> 0.0002 </t>
  </si>
  <si>
    <t>2454965.7952 </t>
  </si>
  <si>
    <t> 14.05.2009 07:05 </t>
  </si>
  <si>
    <t>6410</t>
  </si>
  <si>
    <t> -0.0010 </t>
  </si>
  <si>
    <t> R.Diethelm </t>
  </si>
  <si>
    <t>IBVS 5894 </t>
  </si>
  <si>
    <t>2454968.4890 </t>
  </si>
  <si>
    <t> 16.05.2009 23:44 </t>
  </si>
  <si>
    <t>6417</t>
  </si>
  <si>
    <t> 0.0003 </t>
  </si>
  <si>
    <t>2455015.408 </t>
  </si>
  <si>
    <t> 02.07.2009 21:47 </t>
  </si>
  <si>
    <t>6539</t>
  </si>
  <si>
    <t> -0.007 </t>
  </si>
  <si>
    <t>IBVS 5920 </t>
  </si>
  <si>
    <t>2455273.5139 </t>
  </si>
  <si>
    <t> 18.03.2010 00:20 </t>
  </si>
  <si>
    <t>7210</t>
  </si>
  <si>
    <t> 0.0061 </t>
  </si>
  <si>
    <t>BAVM 234 </t>
  </si>
  <si>
    <t>2455315.4348 </t>
  </si>
  <si>
    <t> 28.04.2010 22:26 </t>
  </si>
  <si>
    <t>7319</t>
  </si>
  <si>
    <t> 0.0013 </t>
  </si>
  <si>
    <t>BAVM 214 </t>
  </si>
  <si>
    <t>2455339.668 </t>
  </si>
  <si>
    <t> 23.05.2010 04:01 </t>
  </si>
  <si>
    <t>7382</t>
  </si>
  <si>
    <t> A.Paschke </t>
  </si>
  <si>
    <t>OEJV 0162 </t>
  </si>
  <si>
    <t>2455398.5129 </t>
  </si>
  <si>
    <t> 21.07.2010 00:18 </t>
  </si>
  <si>
    <t>7535</t>
  </si>
  <si>
    <t> -0.0027 </t>
  </si>
  <si>
    <t>IBVS 5960 </t>
  </si>
  <si>
    <t>2455643.9183 </t>
  </si>
  <si>
    <t> 23.03.2011 10:02 </t>
  </si>
  <si>
    <t>8173</t>
  </si>
  <si>
    <t> 0.0027 </t>
  </si>
  <si>
    <t>IBVS 5992 </t>
  </si>
  <si>
    <t>2455654.4942 </t>
  </si>
  <si>
    <t> 02.04.2011 23:51 </t>
  </si>
  <si>
    <t>8200.5</t>
  </si>
  <si>
    <t> 0.0010 </t>
  </si>
  <si>
    <t>BAVM 220 </t>
  </si>
  <si>
    <t>2455667.3784 </t>
  </si>
  <si>
    <t> 15.04.2011 21:04 </t>
  </si>
  <si>
    <t>8234</t>
  </si>
  <si>
    <t>2455697.7608 </t>
  </si>
  <si>
    <t> 16.05.2011 06:15 </t>
  </si>
  <si>
    <t>8313</t>
  </si>
  <si>
    <t> -0.0044 </t>
  </si>
  <si>
    <t>2456009.5149 </t>
  </si>
  <si>
    <t> 23.03.2012 00:21 </t>
  </si>
  <si>
    <t>9123.5</t>
  </si>
  <si>
    <t> -0.0006 </t>
  </si>
  <si>
    <t>BAVM 228 </t>
  </si>
  <si>
    <t>2456023.9431 </t>
  </si>
  <si>
    <t> 06.04.2012 10:38 </t>
  </si>
  <si>
    <t>9161</t>
  </si>
  <si>
    <t> 0.0036 </t>
  </si>
  <si>
    <t>IBVS 6029 </t>
  </si>
  <si>
    <t>2456089.7139 </t>
  </si>
  <si>
    <t> 11.06.2012 05:08 </t>
  </si>
  <si>
    <t>9332</t>
  </si>
  <si>
    <t>s6</t>
  </si>
  <si>
    <t>s7</t>
  </si>
  <si>
    <t>IBVS 6195</t>
  </si>
  <si>
    <t>OEJV 0179</t>
  </si>
  <si>
    <t>IBVS 6234</t>
  </si>
  <si>
    <t>Nelson</t>
  </si>
  <si>
    <t>0.001?</t>
  </si>
  <si>
    <t>Paschke, Anton.</t>
  </si>
  <si>
    <t xml:space="preserve">Paschke, Anton.   </t>
  </si>
  <si>
    <t xml:space="preserve">Diethelm (2011b)   </t>
  </si>
  <si>
    <t xml:space="preserve">Diethelm (2012b)   </t>
  </si>
  <si>
    <t xml:space="preserve">This paper   </t>
  </si>
  <si>
    <t>Blaettler (2012</t>
  </si>
  <si>
    <t>Diethelm (2003</t>
  </si>
  <si>
    <t>Diethelm (2004</t>
  </si>
  <si>
    <t>Diethelm (2005</t>
  </si>
  <si>
    <t>Moschner (2007</t>
  </si>
  <si>
    <t>Diethelm (2007</t>
  </si>
  <si>
    <t>Nelson (2008</t>
  </si>
  <si>
    <t>Hubscher (2007</t>
  </si>
  <si>
    <t>Nelson (2009</t>
  </si>
  <si>
    <t>Nakajima (2009</t>
  </si>
  <si>
    <t>Hubscher, Steinbach &amp; Walter (2009</t>
  </si>
  <si>
    <t xml:space="preserve">Hubscher et al. (2009 </t>
  </si>
  <si>
    <t xml:space="preserve">Hubscher et al. (2010 </t>
  </si>
  <si>
    <t xml:space="preserve">Diethelm (2009   </t>
  </si>
  <si>
    <t xml:space="preserve">Blaettler (2010   </t>
  </si>
  <si>
    <t xml:space="preserve">Huebscher &amp; Monninger (2011 </t>
  </si>
  <si>
    <t xml:space="preserve">Blaettler (2011   </t>
  </si>
  <si>
    <t>Hubscher, Lehmann &amp; Walter (2012</t>
  </si>
  <si>
    <t xml:space="preserve">Hubscher et al. (2012 </t>
  </si>
  <si>
    <t xml:space="preserve">Agerer (2013   </t>
  </si>
  <si>
    <t>Zhang et al. (2017)</t>
  </si>
  <si>
    <t>from Zhang et al.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</si>
</sst>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1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6" fillId="0" borderId="0" xfId="42" applyFont="1" applyAlignment="1">
      <alignment horizontal="left"/>
    </xf>
    <xf numFmtId="0" fontId="26" fillId="0" borderId="0" xfId="42" applyFont="1" applyAlignment="1">
      <alignment horizontal="center"/>
    </xf>
    <xf numFmtId="0" fontId="7" fillId="0" borderId="0" xfId="42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Boo - O-C Diagr.</a:t>
            </a:r>
          </a:p>
        </c:rich>
      </c:tx>
      <c:layout>
        <c:manualLayout>
          <c:xMode val="edge"/>
          <c:yMode val="edge"/>
          <c:x val="0.3684214091235200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3994189017784567"/>
          <c:w val="0.7894743386850882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0-482C-8A43-C7B57BC10E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-1.3552999997045845E-2</c:v>
                </c:pt>
                <c:pt idx="8">
                  <c:v>-7.9005000006873161E-3</c:v>
                </c:pt>
                <c:pt idx="9">
                  <c:v>-3.4179999929619953E-3</c:v>
                </c:pt>
                <c:pt idx="32">
                  <c:v>2.210999999078922E-3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0-482C-8A43-C7B57BC10E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3">
                  <c:v>5.1200000598328188E-4</c:v>
                </c:pt>
                <c:pt idx="16">
                  <c:v>-2.0680000016000122E-3</c:v>
                </c:pt>
                <c:pt idx="18">
                  <c:v>3.2914999974309467E-3</c:v>
                </c:pt>
                <c:pt idx="19">
                  <c:v>-1.1329999979352579E-3</c:v>
                </c:pt>
                <c:pt idx="22">
                  <c:v>1.1000003723893315E-5</c:v>
                </c:pt>
                <c:pt idx="23">
                  <c:v>4.9125000077765435E-4</c:v>
                </c:pt>
                <c:pt idx="24">
                  <c:v>-2.0949999452568591E-4</c:v>
                </c:pt>
                <c:pt idx="25">
                  <c:v>1.2299999798415229E-4</c:v>
                </c:pt>
                <c:pt idx="26">
                  <c:v>1.9849999807775021E-4</c:v>
                </c:pt>
                <c:pt idx="28">
                  <c:v>3.285000057076104E-4</c:v>
                </c:pt>
                <c:pt idx="30">
                  <c:v>6.1050000003888272E-3</c:v>
                </c:pt>
                <c:pt idx="31">
                  <c:v>1.2995000070077367E-3</c:v>
                </c:pt>
                <c:pt idx="35">
                  <c:v>9.8025000625057146E-4</c:v>
                </c:pt>
                <c:pt idx="36">
                  <c:v>-2.4299999495269731E-4</c:v>
                </c:pt>
                <c:pt idx="38">
                  <c:v>-5.7824999385047704E-4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0-482C-8A43-C7B57BC10E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-8.9747500023804605E-3</c:v>
                </c:pt>
                <c:pt idx="2">
                  <c:v>-8.1684999968274496E-3</c:v>
                </c:pt>
                <c:pt idx="3">
                  <c:v>-5.9882499990635552E-3</c:v>
                </c:pt>
                <c:pt idx="4">
                  <c:v>3.578750001906883E-3</c:v>
                </c:pt>
                <c:pt idx="5">
                  <c:v>-5.3409999964060262E-3</c:v>
                </c:pt>
                <c:pt idx="6">
                  <c:v>-9.4962500006658956E-3</c:v>
                </c:pt>
                <c:pt idx="7">
                  <c:v>-4.7527499991701916E-3</c:v>
                </c:pt>
                <c:pt idx="10">
                  <c:v>-3.7389999997685663E-3</c:v>
                </c:pt>
                <c:pt idx="11">
                  <c:v>3.7155000027269125E-3</c:v>
                </c:pt>
                <c:pt idx="12">
                  <c:v>1.4287500016507693E-3</c:v>
                </c:pt>
                <c:pt idx="14">
                  <c:v>-7.8929999945103191E-3</c:v>
                </c:pt>
                <c:pt idx="17">
                  <c:v>-3.6937499971827492E-3</c:v>
                </c:pt>
                <c:pt idx="21">
                  <c:v>1.1442500035627745E-3</c:v>
                </c:pt>
                <c:pt idx="27">
                  <c:v>-9.9499999487306923E-4</c:v>
                </c:pt>
                <c:pt idx="29">
                  <c:v>-6.6904999912367202E-3</c:v>
                </c:pt>
                <c:pt idx="33">
                  <c:v>-2.7324999973643571E-3</c:v>
                </c:pt>
                <c:pt idx="34">
                  <c:v>2.6664999968488701E-3</c:v>
                </c:pt>
                <c:pt idx="37">
                  <c:v>-4.3635000038193539E-3</c:v>
                </c:pt>
                <c:pt idx="39">
                  <c:v>3.6404999991646037E-3</c:v>
                </c:pt>
                <c:pt idx="40">
                  <c:v>1.0860000038519502E-3</c:v>
                </c:pt>
                <c:pt idx="41">
                  <c:v>3.0665000012959354E-3</c:v>
                </c:pt>
                <c:pt idx="42">
                  <c:v>5.7555000021238811E-3</c:v>
                </c:pt>
                <c:pt idx="43">
                  <c:v>-2.211499995610211E-3</c:v>
                </c:pt>
                <c:pt idx="44">
                  <c:v>-1.8102499961969443E-3</c:v>
                </c:pt>
                <c:pt idx="47">
                  <c:v>-1.7802500005927868E-3</c:v>
                </c:pt>
                <c:pt idx="48">
                  <c:v>-1.7000000007101335E-3</c:v>
                </c:pt>
                <c:pt idx="49">
                  <c:v>-2.4379999958910048E-3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0-482C-8A43-C7B57BC10E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15">
                  <c:v>2.3600000058650039E-3</c:v>
                </c:pt>
                <c:pt idx="20">
                  <c:v>5.8675000036600977E-4</c:v>
                </c:pt>
                <c:pt idx="45">
                  <c:v>-1.7787499964470044E-3</c:v>
                </c:pt>
                <c:pt idx="46">
                  <c:v>-2.9222500015748665E-3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0-482C-8A43-C7B57BC10E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0-482C-8A43-C7B57BC10E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8.9999999999999998E-4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3.0999999999999999E-3</c:v>
                  </c:pt>
                  <c:pt idx="17">
                    <c:v>1.4E-3</c:v>
                  </c:pt>
                  <c:pt idx="18">
                    <c:v>1.1999999999999999E-3</c:v>
                  </c:pt>
                  <c:pt idx="19">
                    <c:v>2.2000000000000001E-3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1.1000000000000001E-3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5.0000000000000001E-4</c:v>
                  </c:pt>
                  <c:pt idx="29">
                    <c:v>4.0000000000000001E-3</c:v>
                  </c:pt>
                  <c:pt idx="30">
                    <c:v>1E-3</c:v>
                  </c:pt>
                  <c:pt idx="31">
                    <c:v>3.8999999999999998E-3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2.5000000000000001E-3</c:v>
                  </c:pt>
                  <c:pt idx="36">
                    <c:v>2.9999999999999997E-4</c:v>
                  </c:pt>
                  <c:pt idx="37">
                    <c:v>8.0000000000000004E-4</c:v>
                  </c:pt>
                  <c:pt idx="38">
                    <c:v>2.8E-3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1.7000000000000001E-4</c:v>
                  </c:pt>
                  <c:pt idx="44">
                    <c:v>5.1000000000000004E-4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1.4E-3</c:v>
                  </c:pt>
                  <c:pt idx="48">
                    <c:v>1.9E-3</c:v>
                  </c:pt>
                  <c:pt idx="4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0-482C-8A43-C7B57BC10E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-3186</c:v>
                </c:pt>
                <c:pt idx="1">
                  <c:v>-1309.5</c:v>
                </c:pt>
                <c:pt idx="2">
                  <c:v>-1297</c:v>
                </c:pt>
                <c:pt idx="3">
                  <c:v>-1296.5</c:v>
                </c:pt>
                <c:pt idx="4">
                  <c:v>-1242.5</c:v>
                </c:pt>
                <c:pt idx="5">
                  <c:v>-1242</c:v>
                </c:pt>
                <c:pt idx="6">
                  <c:v>-1192.5</c:v>
                </c:pt>
                <c:pt idx="7">
                  <c:v>-345.5</c:v>
                </c:pt>
                <c:pt idx="8">
                  <c:v>519</c:v>
                </c:pt>
                <c:pt idx="9">
                  <c:v>684</c:v>
                </c:pt>
                <c:pt idx="10">
                  <c:v>882</c:v>
                </c:pt>
                <c:pt idx="11">
                  <c:v>1511</c:v>
                </c:pt>
                <c:pt idx="12">
                  <c:v>2457.5</c:v>
                </c:pt>
                <c:pt idx="13">
                  <c:v>3544</c:v>
                </c:pt>
                <c:pt idx="14">
                  <c:v>3734</c:v>
                </c:pt>
                <c:pt idx="15">
                  <c:v>4320</c:v>
                </c:pt>
                <c:pt idx="16">
                  <c:v>4384</c:v>
                </c:pt>
                <c:pt idx="17">
                  <c:v>4412.5</c:v>
                </c:pt>
                <c:pt idx="18">
                  <c:v>4423</c:v>
                </c:pt>
                <c:pt idx="19">
                  <c:v>4454</c:v>
                </c:pt>
                <c:pt idx="20">
                  <c:v>5253.5</c:v>
                </c:pt>
                <c:pt idx="21">
                  <c:v>5368.5</c:v>
                </c:pt>
                <c:pt idx="22">
                  <c:v>5382</c:v>
                </c:pt>
                <c:pt idx="23">
                  <c:v>5382.5</c:v>
                </c:pt>
                <c:pt idx="24">
                  <c:v>6261</c:v>
                </c:pt>
                <c:pt idx="25">
                  <c:v>6326</c:v>
                </c:pt>
                <c:pt idx="26">
                  <c:v>6357</c:v>
                </c:pt>
                <c:pt idx="27">
                  <c:v>6410</c:v>
                </c:pt>
                <c:pt idx="28">
                  <c:v>6417</c:v>
                </c:pt>
                <c:pt idx="29">
                  <c:v>6539</c:v>
                </c:pt>
                <c:pt idx="30">
                  <c:v>7210</c:v>
                </c:pt>
                <c:pt idx="31">
                  <c:v>7319</c:v>
                </c:pt>
                <c:pt idx="32">
                  <c:v>7382</c:v>
                </c:pt>
                <c:pt idx="33">
                  <c:v>7535</c:v>
                </c:pt>
                <c:pt idx="34">
                  <c:v>8173</c:v>
                </c:pt>
                <c:pt idx="35">
                  <c:v>8200.5</c:v>
                </c:pt>
                <c:pt idx="36">
                  <c:v>8234</c:v>
                </c:pt>
                <c:pt idx="37">
                  <c:v>8313</c:v>
                </c:pt>
                <c:pt idx="38">
                  <c:v>9123.5</c:v>
                </c:pt>
                <c:pt idx="39">
                  <c:v>9161</c:v>
                </c:pt>
                <c:pt idx="40">
                  <c:v>9332</c:v>
                </c:pt>
                <c:pt idx="41">
                  <c:v>11973</c:v>
                </c:pt>
                <c:pt idx="42">
                  <c:v>11991</c:v>
                </c:pt>
                <c:pt idx="43">
                  <c:v>12737</c:v>
                </c:pt>
                <c:pt idx="44">
                  <c:v>12739.5</c:v>
                </c:pt>
                <c:pt idx="45">
                  <c:v>12842.5</c:v>
                </c:pt>
                <c:pt idx="46">
                  <c:v>12995.5</c:v>
                </c:pt>
                <c:pt idx="47">
                  <c:v>12999.5</c:v>
                </c:pt>
                <c:pt idx="48">
                  <c:v>13000</c:v>
                </c:pt>
                <c:pt idx="49">
                  <c:v>13044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1.5672725722695015E-3</c:v>
                </c:pt>
                <c:pt idx="1">
                  <c:v>1.3150653654530762E-3</c:v>
                </c:pt>
                <c:pt idx="2">
                  <c:v>1.3133853281041791E-3</c:v>
                </c:pt>
                <c:pt idx="3">
                  <c:v>1.3133181266102233E-3</c:v>
                </c:pt>
                <c:pt idx="4">
                  <c:v>1.306060365262988E-3</c:v>
                </c:pt>
                <c:pt idx="5">
                  <c:v>1.3059931637690321E-3</c:v>
                </c:pt>
                <c:pt idx="6">
                  <c:v>1.2993402158673999E-3</c:v>
                </c:pt>
                <c:pt idx="7">
                  <c:v>1.1855008851061357E-3</c:v>
                </c:pt>
                <c:pt idx="8">
                  <c:v>1.0693095020564156E-3</c:v>
                </c:pt>
                <c:pt idx="9">
                  <c:v>1.0471330090509744E-3</c:v>
                </c:pt>
                <c:pt idx="10">
                  <c:v>1.0205212174444452E-3</c:v>
                </c:pt>
                <c:pt idx="11">
                  <c:v>9.3598173804794558E-4</c:v>
                </c:pt>
                <c:pt idx="12">
                  <c:v>8.0876930998946084E-4</c:v>
                </c:pt>
                <c:pt idx="13">
                  <c:v>6.6274046362332917E-4</c:v>
                </c:pt>
                <c:pt idx="14">
                  <c:v>6.37203895920094E-4</c:v>
                </c:pt>
                <c:pt idx="15">
                  <c:v>5.5844374500380023E-4</c:v>
                </c:pt>
                <c:pt idx="16">
                  <c:v>5.4984195377744734E-4</c:v>
                </c:pt>
                <c:pt idx="17">
                  <c:v>5.4601146862196198E-4</c:v>
                </c:pt>
                <c:pt idx="18">
                  <c:v>5.4460023724888851E-4</c:v>
                </c:pt>
                <c:pt idx="19">
                  <c:v>5.4043374462362382E-4</c:v>
                </c:pt>
                <c:pt idx="20">
                  <c:v>4.329785557881684E-4</c:v>
                </c:pt>
                <c:pt idx="21">
                  <c:v>4.1752221217831553E-4</c:v>
                </c:pt>
                <c:pt idx="22">
                  <c:v>4.1570777184150669E-4</c:v>
                </c:pt>
                <c:pt idx="23">
                  <c:v>4.1564057034755087E-4</c:v>
                </c:pt>
                <c:pt idx="24">
                  <c:v>2.9756754546706604E-4</c:v>
                </c:pt>
                <c:pt idx="25">
                  <c:v>2.8883135125280139E-4</c:v>
                </c:pt>
                <c:pt idx="26">
                  <c:v>2.846648586275367E-4</c:v>
                </c:pt>
                <c:pt idx="27">
                  <c:v>2.7754150026821321E-4</c:v>
                </c:pt>
                <c:pt idx="28">
                  <c:v>2.7660067935283083E-4</c:v>
                </c:pt>
                <c:pt idx="29">
                  <c:v>2.6020351482759568E-4</c:v>
                </c:pt>
                <c:pt idx="30">
                  <c:v>1.7001910993880197E-4</c:v>
                </c:pt>
                <c:pt idx="31">
                  <c:v>1.5536918425641962E-4</c:v>
                </c:pt>
                <c:pt idx="32">
                  <c:v>1.4690179601797859E-4</c:v>
                </c:pt>
                <c:pt idx="33">
                  <c:v>1.2633813886747864E-4</c:v>
                </c:pt>
                <c:pt idx="34">
                  <c:v>4.0589032579773027E-5</c:v>
                </c:pt>
                <c:pt idx="35">
                  <c:v>3.6892950412199636E-5</c:v>
                </c:pt>
                <c:pt idx="36">
                  <c:v>3.2390450317155506E-5</c:v>
                </c:pt>
                <c:pt idx="37">
                  <c:v>2.1772614272126201E-5</c:v>
                </c:pt>
                <c:pt idx="38">
                  <c:v>-8.7161007430358725E-5</c:v>
                </c:pt>
                <c:pt idx="39">
                  <c:v>-9.220111947704987E-5</c:v>
                </c:pt>
                <c:pt idx="40">
                  <c:v>-1.1518403040996139E-4</c:v>
                </c:pt>
                <c:pt idx="41">
                  <c:v>-4.7014232148493047E-4</c:v>
                </c:pt>
                <c:pt idx="42">
                  <c:v>-4.7256157526734226E-4</c:v>
                </c:pt>
                <c:pt idx="43">
                  <c:v>-5.7282620424951814E-4</c:v>
                </c:pt>
                <c:pt idx="44">
                  <c:v>-5.7316221171929758E-4</c:v>
                </c:pt>
                <c:pt idx="45">
                  <c:v>-5.8700571947420941E-4</c:v>
                </c:pt>
                <c:pt idx="46">
                  <c:v>-6.0756937662470936E-4</c:v>
                </c:pt>
                <c:pt idx="47">
                  <c:v>-6.0810698857635638E-4</c:v>
                </c:pt>
                <c:pt idx="48">
                  <c:v>-6.0817419007031209E-4</c:v>
                </c:pt>
                <c:pt idx="49">
                  <c:v>-6.1408792153842991E-4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0-482C-8A43-C7B57BC1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6856"/>
        <c:axId val="1"/>
      </c:scatterChart>
      <c:valAx>
        <c:axId val="676646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117317041651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64194395055457"/>
          <c:y val="0.92419947506561673"/>
          <c:w val="0.7249580899161798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47624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40C91C-202F-0397-6707-1E676A147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8.pdf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20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875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34" TargetMode="External"/><Relationship Id="rId25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183" TargetMode="External"/><Relationship Id="rId16" Type="http://schemas.openxmlformats.org/officeDocument/2006/relationships/hyperlink" Target="http://www.konkoly.hu/cgi-bin/IBVS?5920" TargetMode="External"/><Relationship Id="rId20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894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25</v>
      </c>
      <c r="B2" t="s">
        <v>28</v>
      </c>
    </row>
    <row r="4" spans="1:6" ht="14.25" thickTop="1" thickBot="1" x14ac:dyDescent="0.25">
      <c r="A4" s="3" t="s">
        <v>2</v>
      </c>
      <c r="C4" s="7">
        <v>52500.256999999998</v>
      </c>
      <c r="D4" s="8">
        <v>0.38463950000000002</v>
      </c>
    </row>
    <row r="5" spans="1:6" ht="13.5" thickTop="1" x14ac:dyDescent="0.2">
      <c r="A5" s="21" t="s">
        <v>34</v>
      </c>
      <c r="B5" s="22"/>
      <c r="C5" s="23">
        <v>-9.5</v>
      </c>
      <c r="D5" s="22" t="s">
        <v>35</v>
      </c>
    </row>
    <row r="6" spans="1:6" x14ac:dyDescent="0.2">
      <c r="A6" s="3" t="s">
        <v>3</v>
      </c>
    </row>
    <row r="7" spans="1:6" x14ac:dyDescent="0.2">
      <c r="A7" t="s">
        <v>4</v>
      </c>
      <c r="C7">
        <v>52500.256999999998</v>
      </c>
      <c r="D7" s="44"/>
    </row>
    <row r="8" spans="1:6" x14ac:dyDescent="0.2">
      <c r="A8" t="s">
        <v>5</v>
      </c>
      <c r="C8" s="6">
        <v>0.38463950000000002</v>
      </c>
      <c r="D8" s="44" t="s">
        <v>1</v>
      </c>
    </row>
    <row r="9" spans="1:6" x14ac:dyDescent="0.2">
      <c r="A9" s="36" t="s">
        <v>42</v>
      </c>
      <c r="B9" s="37">
        <v>45</v>
      </c>
      <c r="C9" s="25" t="str">
        <f>"F"&amp;B9</f>
        <v>F45</v>
      </c>
      <c r="D9" s="26" t="str">
        <f>"G"&amp;B9</f>
        <v>G45</v>
      </c>
    </row>
    <row r="10" spans="1:6" ht="13.5" thickBot="1" x14ac:dyDescent="0.25">
      <c r="A10" s="22"/>
      <c r="B10" s="22"/>
      <c r="C10" s="2" t="s">
        <v>21</v>
      </c>
      <c r="D10" s="2" t="s">
        <v>22</v>
      </c>
      <c r="E10" s="22"/>
    </row>
    <row r="11" spans="1:6" x14ac:dyDescent="0.2">
      <c r="A11" s="22" t="s">
        <v>17</v>
      </c>
      <c r="B11" s="22"/>
      <c r="C11" s="24">
        <f ca="1">INTERCEPT(INDIRECT($D$9):G992,INDIRECT($C$9):F992)</f>
        <v>1.1390646527826211E-3</v>
      </c>
      <c r="D11" s="17"/>
      <c r="E11" s="22"/>
    </row>
    <row r="12" spans="1:6" x14ac:dyDescent="0.2">
      <c r="A12" s="22" t="s">
        <v>18</v>
      </c>
      <c r="B12" s="22"/>
      <c r="C12" s="24">
        <f ca="1">SLOPE(INDIRECT($D$9):G992,INDIRECT($C$9):F992)</f>
        <v>-1.344029879117641E-7</v>
      </c>
      <c r="D12" s="17"/>
      <c r="E12" s="22"/>
    </row>
    <row r="13" spans="1:6" x14ac:dyDescent="0.2">
      <c r="A13" s="22" t="s">
        <v>20</v>
      </c>
      <c r="B13" s="22"/>
      <c r="C13" s="17" t="s">
        <v>15</v>
      </c>
    </row>
    <row r="14" spans="1:6" x14ac:dyDescent="0.2">
      <c r="A14" s="22"/>
      <c r="B14" s="22"/>
      <c r="C14" s="22"/>
    </row>
    <row r="15" spans="1:6" x14ac:dyDescent="0.2">
      <c r="A15" s="27" t="s">
        <v>19</v>
      </c>
      <c r="B15" s="22"/>
      <c r="C15" s="28">
        <f ca="1">(C7+C11)+(C8+C12)*INT(MAX(F21:F3533))</f>
        <v>57517.494023912077</v>
      </c>
      <c r="E15" s="29" t="s">
        <v>48</v>
      </c>
      <c r="F15" s="23">
        <v>1</v>
      </c>
    </row>
    <row r="16" spans="1:6" x14ac:dyDescent="0.2">
      <c r="A16" s="31" t="s">
        <v>6</v>
      </c>
      <c r="B16" s="22"/>
      <c r="C16" s="32">
        <f ca="1">+C8+C12</f>
        <v>0.38463936559701212</v>
      </c>
      <c r="E16" s="29" t="s">
        <v>36</v>
      </c>
      <c r="F16" s="30">
        <f ca="1">NOW()+15018.5+$C$5/24</f>
        <v>60324.729075694442</v>
      </c>
    </row>
    <row r="17" spans="1:17" ht="13.5" thickBot="1" x14ac:dyDescent="0.25">
      <c r="A17" s="29" t="s">
        <v>29</v>
      </c>
      <c r="B17" s="22"/>
      <c r="C17" s="22">
        <f>COUNT(C21:C2191)</f>
        <v>50</v>
      </c>
      <c r="E17" s="29" t="s">
        <v>49</v>
      </c>
      <c r="F17" s="30">
        <f ca="1">ROUND(2*(F16-$C$7)/$C$8,0)/2+F15</f>
        <v>20343.5</v>
      </c>
    </row>
    <row r="18" spans="1:17" ht="14.25" thickTop="1" thickBot="1" x14ac:dyDescent="0.25">
      <c r="A18" s="31" t="s">
        <v>7</v>
      </c>
      <c r="B18" s="22"/>
      <c r="C18" s="34">
        <f ca="1">+C15</f>
        <v>57517.494023912077</v>
      </c>
      <c r="D18" s="35">
        <f ca="1">+C16</f>
        <v>0.38463936559701212</v>
      </c>
      <c r="E18" s="29" t="s">
        <v>37</v>
      </c>
      <c r="F18" s="26">
        <f ca="1">ROUND(2*(F16-$C$15)/$C$16,0)/2+F15</f>
        <v>7299.5</v>
      </c>
    </row>
    <row r="19" spans="1:17" ht="13.5" thickTop="1" x14ac:dyDescent="0.2">
      <c r="E19" s="29" t="s">
        <v>38</v>
      </c>
      <c r="F19" s="33">
        <f ca="1">+$C$15+$C$16*F18-15018.5-$C$5/24</f>
        <v>45307.064906420805</v>
      </c>
    </row>
    <row r="20" spans="1:17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65</v>
      </c>
      <c r="I20" s="5" t="s">
        <v>68</v>
      </c>
      <c r="J20" s="5" t="s">
        <v>62</v>
      </c>
      <c r="K20" s="5" t="s">
        <v>60</v>
      </c>
      <c r="L20" s="5" t="s">
        <v>246</v>
      </c>
      <c r="M20" s="5" t="s">
        <v>241</v>
      </c>
      <c r="N20" s="5" t="s">
        <v>242</v>
      </c>
      <c r="O20" s="5" t="s">
        <v>24</v>
      </c>
      <c r="P20" s="4" t="s">
        <v>23</v>
      </c>
      <c r="Q20" s="2" t="s">
        <v>16</v>
      </c>
    </row>
    <row r="21" spans="1:17" x14ac:dyDescent="0.2">
      <c r="A21" s="69" t="s">
        <v>248</v>
      </c>
      <c r="B21" s="69"/>
      <c r="C21" s="70">
        <v>51274.781999999999</v>
      </c>
      <c r="D21" s="69" t="s">
        <v>247</v>
      </c>
      <c r="E21" s="6">
        <f t="shared" ref="E21:E52" si="0">+(C21-C$7)/C$8</f>
        <v>-3186.0352355907244</v>
      </c>
      <c r="F21" s="6">
        <f t="shared" ref="F21:F52" si="1">ROUND(2*E21,0)/2</f>
        <v>-3186</v>
      </c>
      <c r="G21" s="6">
        <f t="shared" ref="G21:G52" si="2">+C21-(C$7+F21*C$8)</f>
        <v>-1.3552999997045845E-2</v>
      </c>
      <c r="I21">
        <f>G21</f>
        <v>-1.3552999997045845E-2</v>
      </c>
      <c r="J21" s="6"/>
      <c r="O21" s="6">
        <f t="shared" ref="O21:O52" ca="1" si="3">+C$11+C$12*$F21</f>
        <v>1.5672725722695015E-3</v>
      </c>
      <c r="Q21" s="12">
        <f t="shared" ref="Q21:Q52" si="4">+C21-15018.5</f>
        <v>36256.281999999999</v>
      </c>
    </row>
    <row r="22" spans="1:17" s="6" customFormat="1" x14ac:dyDescent="0.2">
      <c r="A22" s="58" t="s">
        <v>76</v>
      </c>
      <c r="B22" s="59" t="s">
        <v>33</v>
      </c>
      <c r="C22" s="58">
        <v>51996.562599999997</v>
      </c>
      <c r="D22" s="58" t="s">
        <v>68</v>
      </c>
      <c r="E22" s="6">
        <f t="shared" si="0"/>
        <v>-1309.5233328870288</v>
      </c>
      <c r="F22" s="6">
        <f t="shared" si="1"/>
        <v>-1309.5</v>
      </c>
      <c r="G22" s="6">
        <f t="shared" si="2"/>
        <v>-8.9747500023804605E-3</v>
      </c>
      <c r="H22"/>
      <c r="I22"/>
      <c r="K22" s="6">
        <f t="shared" ref="K22:K28" si="5">+G22</f>
        <v>-8.9747500023804605E-3</v>
      </c>
      <c r="L22"/>
      <c r="M22"/>
      <c r="N22"/>
      <c r="O22" s="6">
        <f t="shared" ca="1" si="3"/>
        <v>1.3150653654530762E-3</v>
      </c>
      <c r="P22"/>
      <c r="Q22" s="12">
        <f t="shared" si="4"/>
        <v>36978.062599999997</v>
      </c>
    </row>
    <row r="23" spans="1:17" s="6" customFormat="1" x14ac:dyDescent="0.2">
      <c r="A23" s="58" t="s">
        <v>76</v>
      </c>
      <c r="B23" s="59" t="s">
        <v>27</v>
      </c>
      <c r="C23" s="58">
        <v>52001.371400000004</v>
      </c>
      <c r="D23" s="58" t="s">
        <v>68</v>
      </c>
      <c r="E23" s="6">
        <f t="shared" si="0"/>
        <v>-1297.0212367684394</v>
      </c>
      <c r="F23" s="6">
        <f t="shared" si="1"/>
        <v>-1297</v>
      </c>
      <c r="G23" s="6">
        <f t="shared" si="2"/>
        <v>-8.1684999968274496E-3</v>
      </c>
      <c r="H23"/>
      <c r="I23"/>
      <c r="K23" s="6">
        <f t="shared" si="5"/>
        <v>-8.1684999968274496E-3</v>
      </c>
      <c r="L23"/>
      <c r="M23"/>
      <c r="N23"/>
      <c r="O23" s="6">
        <f t="shared" ca="1" si="3"/>
        <v>1.3133853281041791E-3</v>
      </c>
      <c r="P23"/>
      <c r="Q23" s="12">
        <f t="shared" si="4"/>
        <v>36982.871400000004</v>
      </c>
    </row>
    <row r="24" spans="1:17" s="6" customFormat="1" x14ac:dyDescent="0.2">
      <c r="A24" s="58" t="s">
        <v>76</v>
      </c>
      <c r="B24" s="59" t="s">
        <v>33</v>
      </c>
      <c r="C24" s="58">
        <v>52001.565900000001</v>
      </c>
      <c r="D24" s="58" t="s">
        <v>68</v>
      </c>
      <c r="E24" s="6">
        <f t="shared" si="0"/>
        <v>-1296.5155684738472</v>
      </c>
      <c r="F24" s="6">
        <f t="shared" si="1"/>
        <v>-1296.5</v>
      </c>
      <c r="G24" s="6">
        <f t="shared" si="2"/>
        <v>-5.9882499990635552E-3</v>
      </c>
      <c r="H24"/>
      <c r="I24"/>
      <c r="K24" s="6">
        <f t="shared" si="5"/>
        <v>-5.9882499990635552E-3</v>
      </c>
      <c r="L24"/>
      <c r="M24"/>
      <c r="N24"/>
      <c r="O24" s="6">
        <f t="shared" ca="1" si="3"/>
        <v>1.3133181266102233E-3</v>
      </c>
      <c r="P24"/>
      <c r="Q24" s="12">
        <f t="shared" si="4"/>
        <v>36983.065900000001</v>
      </c>
    </row>
    <row r="25" spans="1:17" s="6" customFormat="1" x14ac:dyDescent="0.2">
      <c r="A25" s="58" t="s">
        <v>76</v>
      </c>
      <c r="B25" s="59" t="s">
        <v>33</v>
      </c>
      <c r="C25" s="58">
        <v>52022.345999999998</v>
      </c>
      <c r="D25" s="58" t="s">
        <v>68</v>
      </c>
      <c r="E25" s="6">
        <f t="shared" si="0"/>
        <v>-1242.4906958333713</v>
      </c>
      <c r="F25" s="6">
        <f t="shared" si="1"/>
        <v>-1242.5</v>
      </c>
      <c r="G25" s="6">
        <f t="shared" si="2"/>
        <v>3.578750001906883E-3</v>
      </c>
      <c r="H25"/>
      <c r="I25"/>
      <c r="K25" s="6">
        <f t="shared" si="5"/>
        <v>3.578750001906883E-3</v>
      </c>
      <c r="L25"/>
      <c r="M25"/>
      <c r="N25"/>
      <c r="O25" s="6">
        <f t="shared" ca="1" si="3"/>
        <v>1.306060365262988E-3</v>
      </c>
      <c r="P25"/>
      <c r="Q25" s="12">
        <f t="shared" si="4"/>
        <v>37003.845999999998</v>
      </c>
    </row>
    <row r="26" spans="1:17" x14ac:dyDescent="0.2">
      <c r="A26" s="58" t="s">
        <v>76</v>
      </c>
      <c r="B26" s="59" t="s">
        <v>27</v>
      </c>
      <c r="C26" s="58">
        <v>52022.529399999999</v>
      </c>
      <c r="D26" s="58" t="s">
        <v>68</v>
      </c>
      <c r="E26" s="6">
        <f t="shared" si="0"/>
        <v>-1242.0138857293605</v>
      </c>
      <c r="F26" s="6">
        <f t="shared" si="1"/>
        <v>-1242</v>
      </c>
      <c r="G26" s="6">
        <f t="shared" si="2"/>
        <v>-5.3409999964060262E-3</v>
      </c>
      <c r="K26" s="6">
        <f t="shared" si="5"/>
        <v>-5.3409999964060262E-3</v>
      </c>
      <c r="O26" s="6">
        <f t="shared" ca="1" si="3"/>
        <v>1.3059931637690321E-3</v>
      </c>
      <c r="Q26" s="12">
        <f t="shared" si="4"/>
        <v>37004.029399999999</v>
      </c>
    </row>
    <row r="27" spans="1:17" x14ac:dyDescent="0.2">
      <c r="A27" s="58" t="s">
        <v>76</v>
      </c>
      <c r="B27" s="59" t="s">
        <v>33</v>
      </c>
      <c r="C27" s="58">
        <v>52041.564899999998</v>
      </c>
      <c r="D27" s="58" t="s">
        <v>68</v>
      </c>
      <c r="E27" s="6">
        <f t="shared" si="0"/>
        <v>-1192.5246887020189</v>
      </c>
      <c r="F27" s="6">
        <f t="shared" si="1"/>
        <v>-1192.5</v>
      </c>
      <c r="G27" s="6">
        <f t="shared" si="2"/>
        <v>-9.4962500006658956E-3</v>
      </c>
      <c r="K27" s="6">
        <f t="shared" si="5"/>
        <v>-9.4962500006658956E-3</v>
      </c>
      <c r="O27" s="6">
        <f t="shared" ca="1" si="3"/>
        <v>1.2993402158673999E-3</v>
      </c>
      <c r="Q27" s="12">
        <f t="shared" si="4"/>
        <v>37023.064899999998</v>
      </c>
    </row>
    <row r="28" spans="1:17" x14ac:dyDescent="0.2">
      <c r="A28" s="58" t="s">
        <v>95</v>
      </c>
      <c r="B28" s="59" t="s">
        <v>33</v>
      </c>
      <c r="C28" s="58">
        <v>52367.359299999996</v>
      </c>
      <c r="D28" s="58" t="s">
        <v>68</v>
      </c>
      <c r="E28" s="6">
        <f t="shared" si="0"/>
        <v>-345.51235637525878</v>
      </c>
      <c r="F28" s="6">
        <f t="shared" si="1"/>
        <v>-345.5</v>
      </c>
      <c r="G28" s="6">
        <f t="shared" si="2"/>
        <v>-4.7527499991701916E-3</v>
      </c>
      <c r="K28" s="6">
        <f t="shared" si="5"/>
        <v>-4.7527499991701916E-3</v>
      </c>
      <c r="O28" s="6">
        <f t="shared" ca="1" si="3"/>
        <v>1.1855008851061357E-3</v>
      </c>
      <c r="Q28" s="12">
        <f t="shared" si="4"/>
        <v>37348.859299999996</v>
      </c>
    </row>
    <row r="29" spans="1:17" x14ac:dyDescent="0.2">
      <c r="A29" s="69" t="s">
        <v>248</v>
      </c>
      <c r="B29" s="69"/>
      <c r="C29" s="70">
        <v>52699.877</v>
      </c>
      <c r="D29" s="69" t="s">
        <v>247</v>
      </c>
      <c r="E29" s="6">
        <f t="shared" si="0"/>
        <v>518.97945998786554</v>
      </c>
      <c r="F29" s="6">
        <f t="shared" si="1"/>
        <v>519</v>
      </c>
      <c r="G29" s="6">
        <f t="shared" si="2"/>
        <v>-7.9005000006873161E-3</v>
      </c>
      <c r="I29">
        <f>G29</f>
        <v>-7.9005000006873161E-3</v>
      </c>
      <c r="J29" s="6"/>
      <c r="O29" s="6">
        <f t="shared" ca="1" si="3"/>
        <v>1.0693095020564156E-3</v>
      </c>
      <c r="Q29" s="12">
        <f t="shared" si="4"/>
        <v>37681.377</v>
      </c>
    </row>
    <row r="30" spans="1:17" x14ac:dyDescent="0.2">
      <c r="A30" s="9" t="s">
        <v>31</v>
      </c>
      <c r="B30" s="10" t="s">
        <v>27</v>
      </c>
      <c r="C30" s="11">
        <v>52763.347000000002</v>
      </c>
      <c r="D30" s="11">
        <v>3.0000000000000001E-3</v>
      </c>
      <c r="E30" s="6">
        <f t="shared" si="0"/>
        <v>683.99111375717723</v>
      </c>
      <c r="F30" s="6">
        <f t="shared" si="1"/>
        <v>684</v>
      </c>
      <c r="G30" s="6">
        <f t="shared" si="2"/>
        <v>-3.4179999929619953E-3</v>
      </c>
      <c r="H30" s="6"/>
      <c r="I30" s="6">
        <f>+G30</f>
        <v>-3.4179999929619953E-3</v>
      </c>
      <c r="K30" s="6"/>
      <c r="L30" s="6"/>
      <c r="M30" s="6"/>
      <c r="N30" s="6"/>
      <c r="O30" s="6">
        <f t="shared" ca="1" si="3"/>
        <v>1.0471330090509744E-3</v>
      </c>
      <c r="P30" s="6"/>
      <c r="Q30" s="12">
        <f t="shared" si="4"/>
        <v>37744.847000000002</v>
      </c>
    </row>
    <row r="31" spans="1:17" x14ac:dyDescent="0.2">
      <c r="A31" s="13" t="s">
        <v>26</v>
      </c>
      <c r="B31" s="14" t="s">
        <v>27</v>
      </c>
      <c r="C31" s="13">
        <v>52839.505299999997</v>
      </c>
      <c r="D31" s="15">
        <v>1.1999999999999999E-3</v>
      </c>
      <c r="E31" s="6">
        <f t="shared" si="0"/>
        <v>881.99027920949163</v>
      </c>
      <c r="F31" s="6">
        <f t="shared" si="1"/>
        <v>882</v>
      </c>
      <c r="G31" s="6">
        <f t="shared" si="2"/>
        <v>-3.7389999997685663E-3</v>
      </c>
      <c r="H31" s="6"/>
      <c r="I31" s="6"/>
      <c r="J31" s="6"/>
      <c r="K31" s="6">
        <f>+G31</f>
        <v>-3.7389999997685663E-3</v>
      </c>
      <c r="L31" s="6"/>
      <c r="M31" s="6"/>
      <c r="N31" s="6"/>
      <c r="O31" s="6">
        <f t="shared" ca="1" si="3"/>
        <v>1.0205212174444452E-3</v>
      </c>
      <c r="P31" s="6"/>
      <c r="Q31" s="12">
        <f t="shared" si="4"/>
        <v>37821.005299999997</v>
      </c>
    </row>
    <row r="32" spans="1:17" x14ac:dyDescent="0.2">
      <c r="A32" s="13" t="s">
        <v>26</v>
      </c>
      <c r="B32" s="14" t="s">
        <v>27</v>
      </c>
      <c r="C32" s="13">
        <v>53081.451000000001</v>
      </c>
      <c r="D32" s="15">
        <v>2E-3</v>
      </c>
      <c r="E32" s="6">
        <f t="shared" si="0"/>
        <v>1511.0096596943451</v>
      </c>
      <c r="F32" s="6">
        <f t="shared" si="1"/>
        <v>1511</v>
      </c>
      <c r="G32" s="6">
        <f t="shared" si="2"/>
        <v>3.7155000027269125E-3</v>
      </c>
      <c r="H32" s="6"/>
      <c r="I32" s="6"/>
      <c r="J32" s="6"/>
      <c r="K32" s="6">
        <f>+G32</f>
        <v>3.7155000027269125E-3</v>
      </c>
      <c r="L32" s="6"/>
      <c r="M32" s="6"/>
      <c r="N32" s="6"/>
      <c r="O32" s="6">
        <f t="shared" ca="1" si="3"/>
        <v>9.3598173804794558E-4</v>
      </c>
      <c r="P32" s="6"/>
      <c r="Q32" s="12">
        <f t="shared" si="4"/>
        <v>38062.951000000001</v>
      </c>
    </row>
    <row r="33" spans="1:17" x14ac:dyDescent="0.2">
      <c r="A33" s="9" t="s">
        <v>32</v>
      </c>
      <c r="B33" s="10" t="s">
        <v>33</v>
      </c>
      <c r="C33" s="11">
        <v>53445.51</v>
      </c>
      <c r="D33" s="11">
        <v>2E-3</v>
      </c>
      <c r="E33" s="6">
        <f t="shared" si="0"/>
        <v>2457.5037145171109</v>
      </c>
      <c r="F33" s="6">
        <f t="shared" si="1"/>
        <v>2457.5</v>
      </c>
      <c r="G33" s="6">
        <f t="shared" si="2"/>
        <v>1.4287500016507693E-3</v>
      </c>
      <c r="H33" s="6"/>
      <c r="I33" s="6"/>
      <c r="J33" s="6"/>
      <c r="K33" s="6">
        <f>+G33</f>
        <v>1.4287500016507693E-3</v>
      </c>
      <c r="L33" s="6"/>
      <c r="M33" s="6"/>
      <c r="N33" s="6"/>
      <c r="O33" s="6">
        <f t="shared" ca="1" si="3"/>
        <v>8.0876930998946084E-4</v>
      </c>
      <c r="P33" s="6"/>
      <c r="Q33" s="12">
        <f t="shared" si="4"/>
        <v>38427.01</v>
      </c>
    </row>
    <row r="34" spans="1:17" x14ac:dyDescent="0.2">
      <c r="A34" s="19" t="s">
        <v>40</v>
      </c>
      <c r="B34" s="20" t="s">
        <v>27</v>
      </c>
      <c r="C34" s="18">
        <v>53863.419900000001</v>
      </c>
      <c r="D34" s="18">
        <v>8.9999999999999998E-4</v>
      </c>
      <c r="E34" s="6">
        <f t="shared" si="0"/>
        <v>3544.0013311165467</v>
      </c>
      <c r="F34" s="6">
        <f t="shared" si="1"/>
        <v>3544</v>
      </c>
      <c r="G34" s="6">
        <f t="shared" si="2"/>
        <v>5.1200000598328188E-4</v>
      </c>
      <c r="H34" s="6"/>
      <c r="I34" s="6"/>
      <c r="J34" s="6">
        <f>+G34</f>
        <v>5.1200000598328188E-4</v>
      </c>
      <c r="L34" s="6"/>
      <c r="M34" s="6"/>
      <c r="N34" s="6"/>
      <c r="O34" s="6">
        <f t="shared" ca="1" si="3"/>
        <v>6.6274046362332917E-4</v>
      </c>
      <c r="P34" s="6"/>
      <c r="Q34" s="12">
        <f t="shared" si="4"/>
        <v>38844.919900000001</v>
      </c>
    </row>
    <row r="35" spans="1:17" x14ac:dyDescent="0.2">
      <c r="A35" s="16" t="s">
        <v>39</v>
      </c>
      <c r="B35" s="17" t="s">
        <v>27</v>
      </c>
      <c r="C35" s="18">
        <v>53936.493000000002</v>
      </c>
      <c r="D35" s="18">
        <v>4.0000000000000001E-3</v>
      </c>
      <c r="E35" s="6">
        <f t="shared" si="0"/>
        <v>3733.9794794866475</v>
      </c>
      <c r="F35" s="6">
        <f t="shared" si="1"/>
        <v>3734</v>
      </c>
      <c r="G35" s="6">
        <f t="shared" si="2"/>
        <v>-7.8929999945103191E-3</v>
      </c>
      <c r="H35" s="6"/>
      <c r="I35" s="6"/>
      <c r="J35" s="6"/>
      <c r="K35" s="6">
        <f>+G35</f>
        <v>-7.8929999945103191E-3</v>
      </c>
      <c r="L35" s="6"/>
      <c r="M35" s="6"/>
      <c r="N35" s="6"/>
      <c r="O35" s="6">
        <f t="shared" ca="1" si="3"/>
        <v>6.37203895920094E-4</v>
      </c>
      <c r="P35" s="6"/>
      <c r="Q35" s="12">
        <f t="shared" si="4"/>
        <v>38917.993000000002</v>
      </c>
    </row>
    <row r="36" spans="1:17" x14ac:dyDescent="0.2">
      <c r="A36" s="38" t="s">
        <v>46</v>
      </c>
      <c r="B36" s="6"/>
      <c r="C36" s="11">
        <v>54161.902000000002</v>
      </c>
      <c r="D36" s="11">
        <v>1E-3</v>
      </c>
      <c r="E36" s="6">
        <f t="shared" si="0"/>
        <v>4320.0061356153074</v>
      </c>
      <c r="F36" s="6">
        <f t="shared" si="1"/>
        <v>4320</v>
      </c>
      <c r="G36" s="6">
        <f t="shared" si="2"/>
        <v>2.3600000058650039E-3</v>
      </c>
      <c r="J36" s="6"/>
      <c r="L36" s="6">
        <f>+G36</f>
        <v>2.3600000058650039E-3</v>
      </c>
      <c r="O36" s="6">
        <f t="shared" ca="1" si="3"/>
        <v>5.5844374500380023E-4</v>
      </c>
      <c r="Q36" s="12">
        <f t="shared" si="4"/>
        <v>39143.402000000002</v>
      </c>
    </row>
    <row r="37" spans="1:17" x14ac:dyDescent="0.2">
      <c r="A37" s="11" t="s">
        <v>41</v>
      </c>
      <c r="B37" s="39"/>
      <c r="C37" s="11">
        <v>54186.514499999997</v>
      </c>
      <c r="D37" s="11">
        <v>3.0999999999999999E-3</v>
      </c>
      <c r="E37" s="6">
        <f t="shared" si="0"/>
        <v>4383.9946235371035</v>
      </c>
      <c r="F37" s="6">
        <f t="shared" si="1"/>
        <v>4384</v>
      </c>
      <c r="G37" s="6">
        <f t="shared" si="2"/>
        <v>-2.0680000016000122E-3</v>
      </c>
      <c r="I37" s="6"/>
      <c r="J37" s="6">
        <f>+G37</f>
        <v>-2.0680000016000122E-3</v>
      </c>
      <c r="O37" s="6">
        <f t="shared" ca="1" si="3"/>
        <v>5.4984195377744734E-4</v>
      </c>
      <c r="Q37" s="12">
        <f t="shared" si="4"/>
        <v>39168.014499999997</v>
      </c>
    </row>
    <row r="38" spans="1:17" x14ac:dyDescent="0.2">
      <c r="A38" s="13" t="s">
        <v>39</v>
      </c>
      <c r="B38" s="10" t="s">
        <v>33</v>
      </c>
      <c r="C38" s="11">
        <v>54197.475100000003</v>
      </c>
      <c r="D38" s="11">
        <v>1.4E-3</v>
      </c>
      <c r="E38" s="6">
        <f t="shared" si="0"/>
        <v>4412.4903968521312</v>
      </c>
      <c r="F38" s="6">
        <f t="shared" si="1"/>
        <v>4412.5</v>
      </c>
      <c r="G38" s="6">
        <f t="shared" si="2"/>
        <v>-3.6937499971827492E-3</v>
      </c>
      <c r="H38" s="6"/>
      <c r="I38" s="6"/>
      <c r="J38" s="6"/>
      <c r="K38" s="6">
        <f>+G38</f>
        <v>-3.6937499971827492E-3</v>
      </c>
      <c r="L38" s="6"/>
      <c r="M38" s="6"/>
      <c r="N38" s="6"/>
      <c r="O38" s="6">
        <f t="shared" ca="1" si="3"/>
        <v>5.4601146862196198E-4</v>
      </c>
      <c r="P38" s="6"/>
      <c r="Q38" s="12">
        <f t="shared" si="4"/>
        <v>39178.975100000003</v>
      </c>
    </row>
    <row r="39" spans="1:17" x14ac:dyDescent="0.2">
      <c r="A39" s="11" t="s">
        <v>41</v>
      </c>
      <c r="B39" s="39"/>
      <c r="C39" s="11">
        <v>54201.520799999998</v>
      </c>
      <c r="D39" s="11">
        <v>1.1999999999999999E-3</v>
      </c>
      <c r="E39" s="6">
        <f t="shared" si="0"/>
        <v>4423.0085573634551</v>
      </c>
      <c r="F39" s="6">
        <f t="shared" si="1"/>
        <v>4423</v>
      </c>
      <c r="G39" s="6">
        <f t="shared" si="2"/>
        <v>3.2914999974309467E-3</v>
      </c>
      <c r="I39" s="6"/>
      <c r="J39" s="6">
        <f>+G39</f>
        <v>3.2914999974309467E-3</v>
      </c>
      <c r="O39" s="6">
        <f t="shared" ca="1" si="3"/>
        <v>5.4460023724888851E-4</v>
      </c>
      <c r="Q39" s="12">
        <f t="shared" si="4"/>
        <v>39183.020799999998</v>
      </c>
    </row>
    <row r="40" spans="1:17" x14ac:dyDescent="0.2">
      <c r="A40" s="11" t="s">
        <v>41</v>
      </c>
      <c r="B40" s="39"/>
      <c r="C40" s="11">
        <v>54213.440199999997</v>
      </c>
      <c r="D40" s="11">
        <v>2.2000000000000001E-3</v>
      </c>
      <c r="E40" s="6">
        <f t="shared" si="0"/>
        <v>4453.9970543846885</v>
      </c>
      <c r="F40" s="6">
        <f t="shared" si="1"/>
        <v>4454</v>
      </c>
      <c r="G40" s="6">
        <f t="shared" si="2"/>
        <v>-1.1329999979352579E-3</v>
      </c>
      <c r="I40" s="6"/>
      <c r="J40" s="6">
        <f>+G40</f>
        <v>-1.1329999979352579E-3</v>
      </c>
      <c r="O40" s="6">
        <f t="shared" ca="1" si="3"/>
        <v>5.4043374462362382E-4</v>
      </c>
      <c r="Q40" s="12">
        <f t="shared" si="4"/>
        <v>39194.940199999997</v>
      </c>
    </row>
    <row r="41" spans="1:17" x14ac:dyDescent="0.2">
      <c r="A41" s="38" t="s">
        <v>43</v>
      </c>
      <c r="B41" s="6"/>
      <c r="C41" s="11">
        <v>54520.961199999998</v>
      </c>
      <c r="D41" s="11">
        <v>2.9999999999999997E-4</v>
      </c>
      <c r="E41" s="6">
        <f t="shared" si="0"/>
        <v>5253.5015254543541</v>
      </c>
      <c r="F41" s="6">
        <f t="shared" si="1"/>
        <v>5253.5</v>
      </c>
      <c r="G41" s="6">
        <f t="shared" si="2"/>
        <v>5.8675000036600977E-4</v>
      </c>
      <c r="J41" s="6"/>
      <c r="L41" s="6">
        <f>+G41</f>
        <v>5.8675000036600977E-4</v>
      </c>
      <c r="O41" s="6">
        <f t="shared" ca="1" si="3"/>
        <v>4.329785557881684E-4</v>
      </c>
      <c r="Q41" s="12">
        <f t="shared" si="4"/>
        <v>39502.461199999998</v>
      </c>
    </row>
    <row r="42" spans="1:17" x14ac:dyDescent="0.2">
      <c r="A42" s="58" t="s">
        <v>153</v>
      </c>
      <c r="B42" s="59" t="s">
        <v>33</v>
      </c>
      <c r="C42" s="58">
        <v>54565.195299999999</v>
      </c>
      <c r="D42" s="58" t="s">
        <v>68</v>
      </c>
      <c r="E42" s="6">
        <f t="shared" si="0"/>
        <v>5368.5029748634797</v>
      </c>
      <c r="F42" s="6">
        <f t="shared" si="1"/>
        <v>5368.5</v>
      </c>
      <c r="G42" s="6">
        <f t="shared" si="2"/>
        <v>1.1442500035627745E-3</v>
      </c>
      <c r="J42" s="6"/>
      <c r="K42">
        <f>G42</f>
        <v>1.1442500035627745E-3</v>
      </c>
      <c r="O42" s="6">
        <f t="shared" ca="1" si="3"/>
        <v>4.1752221217831553E-4</v>
      </c>
      <c r="Q42" s="12">
        <f t="shared" si="4"/>
        <v>39546.695299999999</v>
      </c>
    </row>
    <row r="43" spans="1:17" x14ac:dyDescent="0.2">
      <c r="A43" s="11" t="s">
        <v>44</v>
      </c>
      <c r="B43" s="10" t="s">
        <v>27</v>
      </c>
      <c r="C43" s="11">
        <v>54570.3868</v>
      </c>
      <c r="D43" s="11">
        <v>1.1000000000000001E-3</v>
      </c>
      <c r="E43" s="6">
        <f t="shared" si="0"/>
        <v>5382.0000285982132</v>
      </c>
      <c r="F43" s="6">
        <f t="shared" si="1"/>
        <v>5382</v>
      </c>
      <c r="G43" s="6">
        <f t="shared" si="2"/>
        <v>1.1000003723893315E-5</v>
      </c>
      <c r="I43" s="6"/>
      <c r="J43" s="6">
        <f>+G43</f>
        <v>1.1000003723893315E-5</v>
      </c>
      <c r="O43" s="6">
        <f t="shared" ca="1" si="3"/>
        <v>4.1570777184150669E-4</v>
      </c>
      <c r="Q43" s="12">
        <f t="shared" si="4"/>
        <v>39551.8868</v>
      </c>
    </row>
    <row r="44" spans="1:17" x14ac:dyDescent="0.2">
      <c r="A44" s="11" t="s">
        <v>44</v>
      </c>
      <c r="B44" s="10" t="s">
        <v>27</v>
      </c>
      <c r="C44" s="11">
        <v>54570.579599999997</v>
      </c>
      <c r="D44" s="11">
        <v>1.6999999999999999E-3</v>
      </c>
      <c r="E44" s="6">
        <f t="shared" si="0"/>
        <v>5382.5012771699203</v>
      </c>
      <c r="F44" s="6">
        <f t="shared" si="1"/>
        <v>5382.5</v>
      </c>
      <c r="G44" s="6">
        <f t="shared" si="2"/>
        <v>4.9125000077765435E-4</v>
      </c>
      <c r="I44" s="6"/>
      <c r="J44" s="6">
        <f>+G44</f>
        <v>4.9125000077765435E-4</v>
      </c>
      <c r="O44" s="6">
        <f t="shared" ca="1" si="3"/>
        <v>4.1564057034755087E-4</v>
      </c>
      <c r="Q44" s="12">
        <f t="shared" si="4"/>
        <v>39552.079599999997</v>
      </c>
    </row>
    <row r="45" spans="1:17" x14ac:dyDescent="0.2">
      <c r="A45" s="13" t="s">
        <v>51</v>
      </c>
      <c r="B45" s="14" t="s">
        <v>27</v>
      </c>
      <c r="C45" s="13">
        <v>54908.484700000001</v>
      </c>
      <c r="D45" s="13">
        <v>2.0000000000000001E-4</v>
      </c>
      <c r="E45" s="6">
        <f t="shared" si="0"/>
        <v>6260.9994553341585</v>
      </c>
      <c r="F45" s="6">
        <f t="shared" si="1"/>
        <v>6261</v>
      </c>
      <c r="G45" s="6">
        <f t="shared" si="2"/>
        <v>-2.0949999452568591E-4</v>
      </c>
      <c r="I45" s="6"/>
      <c r="J45" s="6">
        <f>+G45</f>
        <v>-2.0949999452568591E-4</v>
      </c>
      <c r="O45" s="6">
        <f t="shared" ca="1" si="3"/>
        <v>2.9756754546706604E-4</v>
      </c>
      <c r="Q45" s="12">
        <f t="shared" si="4"/>
        <v>39889.984700000001</v>
      </c>
    </row>
    <row r="46" spans="1:17" x14ac:dyDescent="0.2">
      <c r="A46" s="13" t="s">
        <v>51</v>
      </c>
      <c r="B46" s="14" t="s">
        <v>27</v>
      </c>
      <c r="C46" s="13">
        <v>54933.486599999997</v>
      </c>
      <c r="D46" s="13">
        <v>8.0000000000000004E-4</v>
      </c>
      <c r="E46" s="6">
        <f t="shared" si="0"/>
        <v>6326.000319779946</v>
      </c>
      <c r="F46" s="6">
        <f t="shared" si="1"/>
        <v>6326</v>
      </c>
      <c r="G46" s="6">
        <f t="shared" si="2"/>
        <v>1.2299999798415229E-4</v>
      </c>
      <c r="I46" s="6"/>
      <c r="J46" s="6">
        <f>+G46</f>
        <v>1.2299999798415229E-4</v>
      </c>
      <c r="O46" s="6">
        <f t="shared" ca="1" si="3"/>
        <v>2.8883135125280139E-4</v>
      </c>
      <c r="Q46" s="12">
        <f t="shared" si="4"/>
        <v>39914.986599999997</v>
      </c>
    </row>
    <row r="47" spans="1:17" x14ac:dyDescent="0.2">
      <c r="A47" s="13" t="s">
        <v>51</v>
      </c>
      <c r="B47" s="14" t="s">
        <v>27</v>
      </c>
      <c r="C47" s="13">
        <v>54945.410499999998</v>
      </c>
      <c r="D47" s="13">
        <v>2.0000000000000001E-4</v>
      </c>
      <c r="E47" s="6">
        <f t="shared" si="0"/>
        <v>6357.0005160676428</v>
      </c>
      <c r="F47" s="6">
        <f t="shared" si="1"/>
        <v>6357</v>
      </c>
      <c r="G47" s="6">
        <f t="shared" si="2"/>
        <v>1.9849999807775021E-4</v>
      </c>
      <c r="I47" s="6"/>
      <c r="J47" s="6">
        <f>+G47</f>
        <v>1.9849999807775021E-4</v>
      </c>
      <c r="O47" s="6">
        <f t="shared" ca="1" si="3"/>
        <v>2.846648586275367E-4</v>
      </c>
      <c r="Q47" s="12">
        <f t="shared" si="4"/>
        <v>39926.910499999998</v>
      </c>
    </row>
    <row r="48" spans="1:17" x14ac:dyDescent="0.2">
      <c r="A48" s="11" t="s">
        <v>45</v>
      </c>
      <c r="B48" s="10" t="s">
        <v>27</v>
      </c>
      <c r="C48" s="11">
        <v>54965.7952</v>
      </c>
      <c r="D48" s="11">
        <v>5.9999999999999995E-4</v>
      </c>
      <c r="E48" s="6">
        <f t="shared" si="0"/>
        <v>6409.9974131622012</v>
      </c>
      <c r="F48" s="6">
        <f t="shared" si="1"/>
        <v>6410</v>
      </c>
      <c r="G48" s="6">
        <f t="shared" si="2"/>
        <v>-9.9499999487306923E-4</v>
      </c>
      <c r="I48" s="6"/>
      <c r="K48" s="6">
        <f>+G48</f>
        <v>-9.9499999487306923E-4</v>
      </c>
      <c r="O48" s="6">
        <f t="shared" ca="1" si="3"/>
        <v>2.7754150026821321E-4</v>
      </c>
      <c r="Q48" s="12">
        <f t="shared" si="4"/>
        <v>39947.2952</v>
      </c>
    </row>
    <row r="49" spans="1:17" x14ac:dyDescent="0.2">
      <c r="A49" s="13" t="s">
        <v>51</v>
      </c>
      <c r="B49" s="14" t="s">
        <v>27</v>
      </c>
      <c r="C49" s="13">
        <v>54968.489000000001</v>
      </c>
      <c r="D49" s="13">
        <v>5.0000000000000001E-4</v>
      </c>
      <c r="E49" s="6">
        <f t="shared" si="0"/>
        <v>6417.0008540464605</v>
      </c>
      <c r="F49" s="6">
        <f t="shared" si="1"/>
        <v>6417</v>
      </c>
      <c r="G49" s="6">
        <f t="shared" si="2"/>
        <v>3.285000057076104E-4</v>
      </c>
      <c r="I49" s="6"/>
      <c r="J49" s="6">
        <f>+G49</f>
        <v>3.285000057076104E-4</v>
      </c>
      <c r="O49" s="6">
        <f t="shared" ca="1" si="3"/>
        <v>2.7660067935283083E-4</v>
      </c>
      <c r="Q49" s="12">
        <f t="shared" si="4"/>
        <v>39949.989000000001</v>
      </c>
    </row>
    <row r="50" spans="1:17" x14ac:dyDescent="0.2">
      <c r="A50" s="13" t="s">
        <v>47</v>
      </c>
      <c r="B50" s="14" t="s">
        <v>27</v>
      </c>
      <c r="C50" s="13">
        <v>55015.408000000003</v>
      </c>
      <c r="D50" s="13">
        <v>4.0000000000000001E-3</v>
      </c>
      <c r="E50" s="6">
        <f t="shared" si="0"/>
        <v>6538.9826057906303</v>
      </c>
      <c r="F50" s="6">
        <f t="shared" si="1"/>
        <v>6539</v>
      </c>
      <c r="G50" s="6">
        <f t="shared" si="2"/>
        <v>-6.6904999912367202E-3</v>
      </c>
      <c r="I50" s="6"/>
      <c r="K50" s="6">
        <f>+G50</f>
        <v>-6.6904999912367202E-3</v>
      </c>
      <c r="O50" s="6">
        <f t="shared" ca="1" si="3"/>
        <v>2.6020351482759568E-4</v>
      </c>
      <c r="Q50" s="12">
        <f t="shared" si="4"/>
        <v>39996.908000000003</v>
      </c>
    </row>
    <row r="51" spans="1:17" x14ac:dyDescent="0.2">
      <c r="A51" s="40" t="s">
        <v>57</v>
      </c>
      <c r="B51" s="41" t="s">
        <v>27</v>
      </c>
      <c r="C51" s="42">
        <v>55273.513899999998</v>
      </c>
      <c r="D51" s="43">
        <v>1E-3</v>
      </c>
      <c r="E51" s="6">
        <f t="shared" si="0"/>
        <v>7210.0158720048257</v>
      </c>
      <c r="F51" s="6">
        <f t="shared" si="1"/>
        <v>7210</v>
      </c>
      <c r="G51" s="6">
        <f t="shared" si="2"/>
        <v>6.1050000003888272E-3</v>
      </c>
      <c r="I51" s="6"/>
      <c r="J51" s="6">
        <f>+G51</f>
        <v>6.1050000003888272E-3</v>
      </c>
      <c r="O51" s="6">
        <f t="shared" ca="1" si="3"/>
        <v>1.7001910993880197E-4</v>
      </c>
      <c r="Q51" s="12">
        <f t="shared" si="4"/>
        <v>40255.013899999998</v>
      </c>
    </row>
    <row r="52" spans="1:17" x14ac:dyDescent="0.2">
      <c r="A52" s="13" t="s">
        <v>52</v>
      </c>
      <c r="B52" s="14" t="s">
        <v>27</v>
      </c>
      <c r="C52" s="13">
        <v>55315.434800000003</v>
      </c>
      <c r="D52" s="13">
        <v>3.8999999999999998E-3</v>
      </c>
      <c r="E52" s="6">
        <f t="shared" si="0"/>
        <v>7319.0033784881816</v>
      </c>
      <c r="F52" s="6">
        <f t="shared" si="1"/>
        <v>7319</v>
      </c>
      <c r="G52" s="6">
        <f t="shared" si="2"/>
        <v>1.2995000070077367E-3</v>
      </c>
      <c r="I52" s="6"/>
      <c r="J52" s="6">
        <f>+G52</f>
        <v>1.2995000070077367E-3</v>
      </c>
      <c r="O52" s="6">
        <f t="shared" ca="1" si="3"/>
        <v>1.5536918425641962E-4</v>
      </c>
      <c r="Q52" s="12">
        <f t="shared" si="4"/>
        <v>40296.934800000003</v>
      </c>
    </row>
    <row r="53" spans="1:17" x14ac:dyDescent="0.2">
      <c r="A53" s="58" t="s">
        <v>205</v>
      </c>
      <c r="B53" s="59" t="s">
        <v>27</v>
      </c>
      <c r="C53" s="58">
        <v>55339.667999999998</v>
      </c>
      <c r="D53" s="58" t="s">
        <v>68</v>
      </c>
      <c r="E53" s="6">
        <f t="shared" ref="E53:E70" si="6">+(C53-C$7)/C$8</f>
        <v>7382.005748239585</v>
      </c>
      <c r="F53" s="6">
        <f t="shared" ref="F53:F70" si="7">ROUND(2*E53,0)/2</f>
        <v>7382</v>
      </c>
      <c r="G53" s="6">
        <f t="shared" ref="G53:G70" si="8">+C53-(C$7+F53*C$8)</f>
        <v>2.210999999078922E-3</v>
      </c>
      <c r="I53" s="6">
        <f>+G53</f>
        <v>2.210999999078922E-3</v>
      </c>
      <c r="J53" s="6"/>
      <c r="O53" s="6">
        <f t="shared" ref="O53:O70" ca="1" si="9">+C$11+C$12*$F53</f>
        <v>1.4690179601797859E-4</v>
      </c>
      <c r="Q53" s="12">
        <f t="shared" ref="Q53:Q70" si="10">+C53-15018.5</f>
        <v>40321.167999999998</v>
      </c>
    </row>
    <row r="54" spans="1:17" x14ac:dyDescent="0.2">
      <c r="A54" s="9" t="s">
        <v>50</v>
      </c>
      <c r="B54" s="10" t="s">
        <v>27</v>
      </c>
      <c r="C54" s="11">
        <v>55398.512900000002</v>
      </c>
      <c r="D54" s="11">
        <v>1E-3</v>
      </c>
      <c r="E54" s="6">
        <f t="shared" si="6"/>
        <v>7534.9928959454337</v>
      </c>
      <c r="F54" s="6">
        <f t="shared" si="7"/>
        <v>7535</v>
      </c>
      <c r="G54" s="6">
        <f t="shared" si="8"/>
        <v>-2.7324999973643571E-3</v>
      </c>
      <c r="I54" s="6"/>
      <c r="K54" s="6">
        <f>+G54</f>
        <v>-2.7324999973643571E-3</v>
      </c>
      <c r="O54" s="6">
        <f t="shared" ca="1" si="9"/>
        <v>1.2633813886747864E-4</v>
      </c>
      <c r="Q54" s="12">
        <f t="shared" si="10"/>
        <v>40380.012900000002</v>
      </c>
    </row>
    <row r="55" spans="1:17" x14ac:dyDescent="0.2">
      <c r="A55" s="13" t="s">
        <v>53</v>
      </c>
      <c r="B55" s="14" t="s">
        <v>27</v>
      </c>
      <c r="C55" s="13">
        <v>55643.918299999998</v>
      </c>
      <c r="D55" s="13">
        <v>6.9999999999999999E-4</v>
      </c>
      <c r="E55" s="6">
        <f t="shared" si="6"/>
        <v>8173.0069324653332</v>
      </c>
      <c r="F55" s="6">
        <f t="shared" si="7"/>
        <v>8173</v>
      </c>
      <c r="G55" s="6">
        <f t="shared" si="8"/>
        <v>2.6664999968488701E-3</v>
      </c>
      <c r="I55" s="6"/>
      <c r="K55" s="6">
        <f>+G55</f>
        <v>2.6664999968488701E-3</v>
      </c>
      <c r="O55" s="6">
        <f t="shared" ca="1" si="9"/>
        <v>4.0589032579773027E-5</v>
      </c>
      <c r="Q55" s="12">
        <f t="shared" si="10"/>
        <v>40625.418299999998</v>
      </c>
    </row>
    <row r="56" spans="1:17" x14ac:dyDescent="0.2">
      <c r="A56" s="13" t="s">
        <v>54</v>
      </c>
      <c r="B56" s="14" t="s">
        <v>27</v>
      </c>
      <c r="C56" s="13">
        <v>55654.494200000001</v>
      </c>
      <c r="D56" s="13">
        <v>2.5000000000000001E-3</v>
      </c>
      <c r="E56" s="6">
        <f t="shared" si="6"/>
        <v>8200.502548490218</v>
      </c>
      <c r="F56" s="6">
        <f t="shared" si="7"/>
        <v>8200.5</v>
      </c>
      <c r="G56" s="6">
        <f t="shared" si="8"/>
        <v>9.8025000625057146E-4</v>
      </c>
      <c r="I56" s="6"/>
      <c r="J56" s="6">
        <f>+G56</f>
        <v>9.8025000625057146E-4</v>
      </c>
      <c r="O56" s="6">
        <f t="shared" ca="1" si="9"/>
        <v>3.6892950412199636E-5</v>
      </c>
      <c r="Q56" s="12">
        <f t="shared" si="10"/>
        <v>40635.994200000001</v>
      </c>
    </row>
    <row r="57" spans="1:17" x14ac:dyDescent="0.2">
      <c r="A57" s="13" t="s">
        <v>54</v>
      </c>
      <c r="B57" s="14" t="s">
        <v>27</v>
      </c>
      <c r="C57" s="13">
        <v>55667.378400000001</v>
      </c>
      <c r="D57" s="13">
        <v>2.9999999999999997E-4</v>
      </c>
      <c r="E57" s="6">
        <f t="shared" si="6"/>
        <v>8233.9993682396198</v>
      </c>
      <c r="F57" s="6">
        <f t="shared" si="7"/>
        <v>8234</v>
      </c>
      <c r="G57" s="6">
        <f t="shared" si="8"/>
        <v>-2.4299999495269731E-4</v>
      </c>
      <c r="I57" s="6"/>
      <c r="J57" s="6">
        <f>+G57</f>
        <v>-2.4299999495269731E-4</v>
      </c>
      <c r="O57" s="6">
        <f t="shared" ca="1" si="9"/>
        <v>3.2390450317155506E-5</v>
      </c>
      <c r="Q57" s="12">
        <f t="shared" si="10"/>
        <v>40648.878400000001</v>
      </c>
    </row>
    <row r="58" spans="1:17" x14ac:dyDescent="0.2">
      <c r="A58" s="13" t="s">
        <v>53</v>
      </c>
      <c r="B58" s="14" t="s">
        <v>27</v>
      </c>
      <c r="C58" s="13">
        <v>55697.760799999996</v>
      </c>
      <c r="D58" s="13">
        <v>8.0000000000000004E-4</v>
      </c>
      <c r="E58" s="6">
        <f t="shared" si="6"/>
        <v>8312.9886556112888</v>
      </c>
      <c r="F58" s="6">
        <f t="shared" si="7"/>
        <v>8313</v>
      </c>
      <c r="G58" s="6">
        <f t="shared" si="8"/>
        <v>-4.3635000038193539E-3</v>
      </c>
      <c r="I58" s="6"/>
      <c r="K58" s="6">
        <f>+G58</f>
        <v>-4.3635000038193539E-3</v>
      </c>
      <c r="O58" s="6">
        <f t="shared" ca="1" si="9"/>
        <v>2.1772614272126201E-5</v>
      </c>
      <c r="Q58" s="12">
        <f t="shared" si="10"/>
        <v>40679.260799999996</v>
      </c>
    </row>
    <row r="59" spans="1:17" x14ac:dyDescent="0.2">
      <c r="A59" s="9" t="s">
        <v>56</v>
      </c>
      <c r="B59" s="10" t="s">
        <v>33</v>
      </c>
      <c r="C59" s="11">
        <v>56009.514900000002</v>
      </c>
      <c r="D59" s="11">
        <v>2.8E-3</v>
      </c>
      <c r="E59" s="6">
        <f t="shared" si="6"/>
        <v>9123.4984966442698</v>
      </c>
      <c r="F59" s="6">
        <f t="shared" si="7"/>
        <v>9123.5</v>
      </c>
      <c r="G59" s="6">
        <f t="shared" si="8"/>
        <v>-5.7824999385047704E-4</v>
      </c>
      <c r="I59" s="6"/>
      <c r="J59" s="6">
        <f>+G59</f>
        <v>-5.7824999385047704E-4</v>
      </c>
      <c r="O59" s="6">
        <f t="shared" ca="1" si="9"/>
        <v>-8.7161007430358725E-5</v>
      </c>
      <c r="Q59" s="12">
        <f t="shared" si="10"/>
        <v>40991.014900000002</v>
      </c>
    </row>
    <row r="60" spans="1:17" x14ac:dyDescent="0.2">
      <c r="A60" s="11" t="s">
        <v>55</v>
      </c>
      <c r="B60" s="10" t="s">
        <v>27</v>
      </c>
      <c r="C60" s="11">
        <v>56023.943099999997</v>
      </c>
      <c r="D60" s="11">
        <v>8.0000000000000004E-4</v>
      </c>
      <c r="E60" s="6">
        <f t="shared" si="6"/>
        <v>9161.0094647065598</v>
      </c>
      <c r="F60" s="6">
        <f t="shared" si="7"/>
        <v>9161</v>
      </c>
      <c r="G60" s="6">
        <f t="shared" si="8"/>
        <v>3.6404999991646037E-3</v>
      </c>
      <c r="I60" s="6"/>
      <c r="K60" s="6">
        <f>+G60</f>
        <v>3.6404999991646037E-3</v>
      </c>
      <c r="O60" s="6">
        <f t="shared" ca="1" si="9"/>
        <v>-9.220111947704987E-5</v>
      </c>
      <c r="Q60" s="12">
        <f t="shared" si="10"/>
        <v>41005.443099999997</v>
      </c>
    </row>
    <row r="61" spans="1:17" x14ac:dyDescent="0.2">
      <c r="A61" s="11" t="s">
        <v>55</v>
      </c>
      <c r="B61" s="10" t="s">
        <v>27</v>
      </c>
      <c r="C61" s="11">
        <v>56089.713900000002</v>
      </c>
      <c r="D61" s="11">
        <v>4.0000000000000002E-4</v>
      </c>
      <c r="E61" s="6">
        <f t="shared" si="6"/>
        <v>9332.0028234229831</v>
      </c>
      <c r="F61" s="6">
        <f t="shared" si="7"/>
        <v>9332</v>
      </c>
      <c r="G61" s="6">
        <f t="shared" si="8"/>
        <v>1.0860000038519502E-3</v>
      </c>
      <c r="I61" s="6"/>
      <c r="K61" s="6">
        <f>+G61</f>
        <v>1.0860000038519502E-3</v>
      </c>
      <c r="O61" s="6">
        <f t="shared" ca="1" si="9"/>
        <v>-1.1518403040996139E-4</v>
      </c>
      <c r="Q61" s="12">
        <f t="shared" si="10"/>
        <v>41071.213900000002</v>
      </c>
    </row>
    <row r="62" spans="1:17" x14ac:dyDescent="0.2">
      <c r="A62" s="66" t="s">
        <v>244</v>
      </c>
      <c r="B62" s="67" t="s">
        <v>27</v>
      </c>
      <c r="C62" s="68">
        <v>57105.548799999997</v>
      </c>
      <c r="D62" s="68">
        <v>2.9999999999999997E-4</v>
      </c>
      <c r="E62" s="6">
        <f t="shared" si="6"/>
        <v>11973.007972400128</v>
      </c>
      <c r="F62" s="6">
        <f t="shared" si="7"/>
        <v>11973</v>
      </c>
      <c r="G62" s="6">
        <f t="shared" si="8"/>
        <v>3.0665000012959354E-3</v>
      </c>
      <c r="J62" s="6"/>
      <c r="K62">
        <f>G62</f>
        <v>3.0665000012959354E-3</v>
      </c>
      <c r="O62" s="6">
        <f t="shared" ca="1" si="9"/>
        <v>-4.7014232148493047E-4</v>
      </c>
      <c r="Q62" s="12">
        <f t="shared" si="10"/>
        <v>42087.048799999997</v>
      </c>
    </row>
    <row r="63" spans="1:17" x14ac:dyDescent="0.2">
      <c r="A63" s="66" t="s">
        <v>244</v>
      </c>
      <c r="B63" s="67" t="s">
        <v>27</v>
      </c>
      <c r="C63" s="68">
        <v>57112.474999999999</v>
      </c>
      <c r="D63" s="68">
        <v>4.0000000000000002E-4</v>
      </c>
      <c r="E63" s="6">
        <f t="shared" si="6"/>
        <v>11991.014963361798</v>
      </c>
      <c r="F63" s="6">
        <f t="shared" si="7"/>
        <v>11991</v>
      </c>
      <c r="G63" s="6">
        <f t="shared" si="8"/>
        <v>5.7555000021238811E-3</v>
      </c>
      <c r="J63" s="6"/>
      <c r="K63">
        <f>G63</f>
        <v>5.7555000021238811E-3</v>
      </c>
      <c r="O63" s="6">
        <f t="shared" ca="1" si="9"/>
        <v>-4.7256157526734226E-4</v>
      </c>
      <c r="Q63" s="12">
        <f t="shared" si="10"/>
        <v>42093.974999999999</v>
      </c>
    </row>
    <row r="64" spans="1:17" x14ac:dyDescent="0.2">
      <c r="A64" s="69" t="s">
        <v>273</v>
      </c>
      <c r="B64" s="69"/>
      <c r="C64" s="70">
        <v>57399.408100000001</v>
      </c>
      <c r="D64" s="70">
        <v>1.7000000000000001E-4</v>
      </c>
      <c r="E64" s="6">
        <f t="shared" si="6"/>
        <v>12736.994250460502</v>
      </c>
      <c r="F64" s="6">
        <f t="shared" si="7"/>
        <v>12737</v>
      </c>
      <c r="G64" s="6">
        <f t="shared" si="8"/>
        <v>-2.211499995610211E-3</v>
      </c>
      <c r="J64" s="6"/>
      <c r="K64">
        <f>G64</f>
        <v>-2.211499995610211E-3</v>
      </c>
      <c r="O64" s="6">
        <f t="shared" ca="1" si="9"/>
        <v>-5.7282620424951814E-4</v>
      </c>
      <c r="Q64" s="12">
        <f t="shared" si="10"/>
        <v>42380.908100000001</v>
      </c>
    </row>
    <row r="65" spans="1:17" x14ac:dyDescent="0.2">
      <c r="A65" s="69" t="s">
        <v>273</v>
      </c>
      <c r="B65" s="69"/>
      <c r="C65" s="70">
        <v>57400.3701</v>
      </c>
      <c r="D65" s="70">
        <v>5.1000000000000004E-4</v>
      </c>
      <c r="E65" s="6">
        <f t="shared" si="6"/>
        <v>12739.495293645094</v>
      </c>
      <c r="F65" s="6">
        <f t="shared" si="7"/>
        <v>12739.5</v>
      </c>
      <c r="G65" s="6">
        <f t="shared" si="8"/>
        <v>-1.8102499961969443E-3</v>
      </c>
      <c r="J65" s="6"/>
      <c r="K65">
        <f>G65</f>
        <v>-1.8102499961969443E-3</v>
      </c>
      <c r="O65" s="6">
        <f t="shared" ca="1" si="9"/>
        <v>-5.7316221171929758E-4</v>
      </c>
      <c r="Q65" s="12">
        <f t="shared" si="10"/>
        <v>42381.8701</v>
      </c>
    </row>
    <row r="66" spans="1:17" x14ac:dyDescent="0.2">
      <c r="A66" s="38" t="s">
        <v>243</v>
      </c>
      <c r="B66" s="6"/>
      <c r="C66" s="11">
        <v>57439.987999999998</v>
      </c>
      <c r="D66" s="11">
        <v>4.0000000000000002E-4</v>
      </c>
      <c r="E66" s="6">
        <f t="shared" si="6"/>
        <v>12842.495375539953</v>
      </c>
      <c r="F66" s="6">
        <f t="shared" si="7"/>
        <v>12842.5</v>
      </c>
      <c r="G66" s="6">
        <f t="shared" si="8"/>
        <v>-1.7787499964470044E-3</v>
      </c>
      <c r="J66" s="6"/>
      <c r="L66">
        <f>G66</f>
        <v>-1.7787499964470044E-3</v>
      </c>
      <c r="O66" s="6">
        <f t="shared" ca="1" si="9"/>
        <v>-5.8700571947420941E-4</v>
      </c>
      <c r="Q66" s="12">
        <f t="shared" si="10"/>
        <v>42421.487999999998</v>
      </c>
    </row>
    <row r="67" spans="1:17" x14ac:dyDescent="0.2">
      <c r="A67" s="62" t="s">
        <v>245</v>
      </c>
      <c r="B67" s="61"/>
      <c r="C67" s="60">
        <v>57498.8367</v>
      </c>
      <c r="D67" s="11">
        <v>2.0000000000000001E-4</v>
      </c>
      <c r="E67" s="6">
        <f t="shared" si="6"/>
        <v>12995.49240262636</v>
      </c>
      <c r="F67" s="6">
        <f t="shared" si="7"/>
        <v>12995.5</v>
      </c>
      <c r="G67" s="6">
        <f t="shared" si="8"/>
        <v>-2.9222500015748665E-3</v>
      </c>
      <c r="J67" s="6"/>
      <c r="L67">
        <f>G67</f>
        <v>-2.9222500015748665E-3</v>
      </c>
      <c r="O67" s="6">
        <f t="shared" ca="1" si="9"/>
        <v>-6.0756937662470936E-4</v>
      </c>
      <c r="Q67" s="12">
        <f t="shared" si="10"/>
        <v>42480.3367</v>
      </c>
    </row>
    <row r="68" spans="1:17" x14ac:dyDescent="0.2">
      <c r="A68" s="63" t="s">
        <v>0</v>
      </c>
      <c r="B68" s="64" t="s">
        <v>27</v>
      </c>
      <c r="C68" s="65">
        <v>57500.376400000001</v>
      </c>
      <c r="D68" s="65">
        <v>1.4E-3</v>
      </c>
      <c r="E68" s="6">
        <f t="shared" si="6"/>
        <v>12999.495371640205</v>
      </c>
      <c r="F68" s="6">
        <f t="shared" si="7"/>
        <v>12999.5</v>
      </c>
      <c r="G68" s="6">
        <f t="shared" si="8"/>
        <v>-1.7802500005927868E-3</v>
      </c>
      <c r="J68" s="6"/>
      <c r="K68">
        <f>G68</f>
        <v>-1.7802500005927868E-3</v>
      </c>
      <c r="O68" s="6">
        <f t="shared" ca="1" si="9"/>
        <v>-6.0810698857635638E-4</v>
      </c>
      <c r="Q68" s="12">
        <f t="shared" si="10"/>
        <v>42481.876400000001</v>
      </c>
    </row>
    <row r="69" spans="1:17" x14ac:dyDescent="0.2">
      <c r="A69" s="63" t="s">
        <v>0</v>
      </c>
      <c r="B69" s="64" t="s">
        <v>27</v>
      </c>
      <c r="C69" s="65">
        <v>57500.568800000001</v>
      </c>
      <c r="D69" s="65">
        <v>1.9E-3</v>
      </c>
      <c r="E69" s="6">
        <f t="shared" si="6"/>
        <v>12999.995580277124</v>
      </c>
      <c r="F69" s="6">
        <f t="shared" si="7"/>
        <v>13000</v>
      </c>
      <c r="G69" s="6">
        <f t="shared" si="8"/>
        <v>-1.7000000007101335E-3</v>
      </c>
      <c r="J69" s="6"/>
      <c r="K69">
        <f>G69</f>
        <v>-1.7000000007101335E-3</v>
      </c>
      <c r="O69" s="6">
        <f t="shared" ca="1" si="9"/>
        <v>-6.0817419007031209E-4</v>
      </c>
      <c r="Q69" s="12">
        <f t="shared" si="10"/>
        <v>42482.068800000001</v>
      </c>
    </row>
    <row r="70" spans="1:17" x14ac:dyDescent="0.2">
      <c r="A70" s="63" t="s">
        <v>0</v>
      </c>
      <c r="B70" s="64" t="s">
        <v>27</v>
      </c>
      <c r="C70" s="65">
        <v>57517.492200000001</v>
      </c>
      <c r="D70" s="65">
        <v>1.9E-3</v>
      </c>
      <c r="E70" s="6">
        <f t="shared" si="6"/>
        <v>13043.993661597424</v>
      </c>
      <c r="F70" s="6">
        <f t="shared" si="7"/>
        <v>13044</v>
      </c>
      <c r="G70" s="6">
        <f t="shared" si="8"/>
        <v>-2.4379999958910048E-3</v>
      </c>
      <c r="J70" s="6"/>
      <c r="K70">
        <f>G70</f>
        <v>-2.4379999958910048E-3</v>
      </c>
      <c r="O70" s="6">
        <f t="shared" ca="1" si="9"/>
        <v>-6.1408792153842991E-4</v>
      </c>
      <c r="Q70" s="12">
        <f t="shared" si="10"/>
        <v>42498.992200000001</v>
      </c>
    </row>
    <row r="71" spans="1:17" x14ac:dyDescent="0.2">
      <c r="A71" s="6"/>
      <c r="B71" s="6"/>
      <c r="C71" s="6"/>
      <c r="D71" s="6"/>
      <c r="E71" s="6"/>
    </row>
    <row r="72" spans="1:17" x14ac:dyDescent="0.2">
      <c r="A72" s="6"/>
      <c r="B72" s="6"/>
      <c r="C72" s="6"/>
      <c r="D72" s="6"/>
      <c r="E72" s="6"/>
    </row>
    <row r="73" spans="1:17" x14ac:dyDescent="0.2">
      <c r="A73" s="6"/>
      <c r="B73" s="6"/>
      <c r="C73" s="6"/>
      <c r="D73" s="6"/>
      <c r="E73" s="6"/>
    </row>
    <row r="74" spans="1:17" x14ac:dyDescent="0.2">
      <c r="A74" s="6"/>
      <c r="B74" s="6"/>
      <c r="C74" s="6"/>
      <c r="D74" s="6"/>
      <c r="E74" s="6"/>
    </row>
    <row r="75" spans="1:17" x14ac:dyDescent="0.2">
      <c r="A75" s="6"/>
      <c r="B75" s="6"/>
      <c r="C75" s="6"/>
      <c r="D75" s="6"/>
      <c r="E75" s="6"/>
    </row>
    <row r="76" spans="1:17" x14ac:dyDescent="0.2">
      <c r="A76" s="6"/>
      <c r="B76" s="6"/>
      <c r="C76" s="6"/>
      <c r="D76" s="6"/>
      <c r="E76" s="6"/>
    </row>
    <row r="77" spans="1:17" x14ac:dyDescent="0.2">
      <c r="A77" s="6"/>
      <c r="B77" s="6"/>
      <c r="C77" s="6"/>
      <c r="D77" s="6"/>
      <c r="E77" s="6"/>
    </row>
    <row r="78" spans="1:17" x14ac:dyDescent="0.2">
      <c r="A78" s="6"/>
      <c r="B78" s="6"/>
      <c r="C78" s="6"/>
      <c r="D78" s="6"/>
      <c r="E78" s="6"/>
    </row>
    <row r="79" spans="1:17" x14ac:dyDescent="0.2">
      <c r="A79" s="6"/>
      <c r="B79" s="6"/>
      <c r="C79" s="6"/>
      <c r="D79" s="6"/>
      <c r="E79" s="6"/>
    </row>
    <row r="80" spans="1:17" x14ac:dyDescent="0.2">
      <c r="A80" s="6"/>
      <c r="B80" s="6"/>
      <c r="C80" s="6"/>
      <c r="D80" s="6"/>
      <c r="E80" s="6"/>
    </row>
    <row r="81" spans="1:5" x14ac:dyDescent="0.2">
      <c r="A81" s="6"/>
      <c r="B81" s="6"/>
      <c r="C81" s="6"/>
      <c r="D81" s="6"/>
      <c r="E81" s="6"/>
    </row>
    <row r="82" spans="1:5" x14ac:dyDescent="0.2">
      <c r="A82" s="6"/>
      <c r="B82" s="6"/>
      <c r="C82" s="6"/>
      <c r="D82" s="6"/>
      <c r="E82" s="6"/>
    </row>
    <row r="83" spans="1:5" x14ac:dyDescent="0.2">
      <c r="A83" s="6"/>
      <c r="B83" s="6"/>
      <c r="C83" s="6"/>
      <c r="D83" s="6"/>
      <c r="E83" s="6"/>
    </row>
    <row r="84" spans="1:5" x14ac:dyDescent="0.2">
      <c r="A84" s="6"/>
      <c r="B84" s="6"/>
      <c r="C84" s="6"/>
      <c r="D84" s="6"/>
      <c r="E84" s="6"/>
    </row>
    <row r="85" spans="1:5" x14ac:dyDescent="0.2">
      <c r="A85" s="6"/>
      <c r="B85" s="6"/>
      <c r="C85" s="6"/>
      <c r="D85" s="6"/>
      <c r="E85" s="6"/>
    </row>
    <row r="86" spans="1:5" x14ac:dyDescent="0.2">
      <c r="A86" s="6"/>
      <c r="B86" s="6"/>
      <c r="C86" s="6"/>
      <c r="D86" s="6"/>
      <c r="E86" s="6"/>
    </row>
    <row r="87" spans="1:5" x14ac:dyDescent="0.2">
      <c r="A87" s="6"/>
      <c r="B87" s="6"/>
      <c r="C87" s="6"/>
      <c r="D87" s="6"/>
      <c r="E87" s="6"/>
    </row>
    <row r="88" spans="1:5" x14ac:dyDescent="0.2">
      <c r="A88" s="6"/>
      <c r="B88" s="6"/>
      <c r="C88" s="6"/>
      <c r="D88" s="6"/>
      <c r="E88" s="6"/>
    </row>
  </sheetData>
  <phoneticPr fontId="8" type="noConversion"/>
  <hyperlinks>
    <hyperlink ref="H2968" r:id="rId1" display="http://vsolj.cetus-net.org/bulletin.html"/>
    <hyperlink ref="H2967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2"/>
  <sheetViews>
    <sheetView workbookViewId="0">
      <selection activeCell="A41" sqref="A41:D49"/>
    </sheetView>
  </sheetViews>
  <sheetFormatPr defaultRowHeight="12.75" x14ac:dyDescent="0.2"/>
  <cols>
    <col min="1" max="1" width="19.7109375" style="18" customWidth="1"/>
    <col min="2" max="2" width="4.42578125" style="22" customWidth="1"/>
    <col min="3" max="3" width="12.7109375" style="18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8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5" t="s">
        <v>58</v>
      </c>
      <c r="I1" s="46" t="s">
        <v>59</v>
      </c>
      <c r="J1" s="47" t="s">
        <v>60</v>
      </c>
    </row>
    <row r="2" spans="1:16" x14ac:dyDescent="0.2">
      <c r="I2" s="48" t="s">
        <v>61</v>
      </c>
      <c r="J2" s="49" t="s">
        <v>62</v>
      </c>
    </row>
    <row r="3" spans="1:16" x14ac:dyDescent="0.2">
      <c r="A3" s="50" t="s">
        <v>63</v>
      </c>
      <c r="I3" s="48" t="s">
        <v>64</v>
      </c>
      <c r="J3" s="49" t="s">
        <v>65</v>
      </c>
    </row>
    <row r="4" spans="1:16" x14ac:dyDescent="0.2">
      <c r="I4" s="48" t="s">
        <v>66</v>
      </c>
      <c r="J4" s="49" t="s">
        <v>65</v>
      </c>
    </row>
    <row r="5" spans="1:16" ht="13.5" thickBot="1" x14ac:dyDescent="0.25">
      <c r="I5" s="51" t="s">
        <v>67</v>
      </c>
      <c r="J5" s="52" t="s">
        <v>68</v>
      </c>
    </row>
    <row r="10" spans="1:16" ht="13.5" thickBot="1" x14ac:dyDescent="0.25"/>
    <row r="11" spans="1:16" ht="12.75" customHeight="1" thickBot="1" x14ac:dyDescent="0.25">
      <c r="A11" s="18" t="str">
        <f t="shared" ref="A11:A49" si="0">P11</f>
        <v> BBS 129 </v>
      </c>
      <c r="B11" s="17" t="str">
        <f t="shared" ref="B11:B49" si="1">IF(H11=INT(H11),"I","II")</f>
        <v>I</v>
      </c>
      <c r="C11" s="18">
        <f t="shared" ref="C11:C49" si="2">1*G11</f>
        <v>52763.347000000002</v>
      </c>
      <c r="D11" s="22" t="str">
        <f t="shared" ref="D11:D49" si="3">VLOOKUP(F11,I$1:J$5,2,FALSE)</f>
        <v>vis</v>
      </c>
      <c r="E11" s="53">
        <f>VLOOKUP(C11,Active!C$21:E$973,3,FALSE)</f>
        <v>683.99111375717723</v>
      </c>
      <c r="F11" s="17" t="s">
        <v>67</v>
      </c>
      <c r="G11" s="22" t="str">
        <f t="shared" ref="G11:G49" si="4">MID(I11,3,LEN(I11)-3)</f>
        <v>52763.347</v>
      </c>
      <c r="H11" s="18">
        <f t="shared" ref="H11:H49" si="5">1*K11</f>
        <v>684</v>
      </c>
      <c r="I11" s="54" t="s">
        <v>96</v>
      </c>
      <c r="J11" s="55" t="s">
        <v>97</v>
      </c>
      <c r="K11" s="54">
        <v>684</v>
      </c>
      <c r="L11" s="54" t="s">
        <v>69</v>
      </c>
      <c r="M11" s="55" t="s">
        <v>73</v>
      </c>
      <c r="N11" s="55" t="s">
        <v>74</v>
      </c>
      <c r="O11" s="56" t="s">
        <v>75</v>
      </c>
      <c r="P11" s="56" t="s">
        <v>98</v>
      </c>
    </row>
    <row r="12" spans="1:16" ht="12.75" customHeight="1" thickBot="1" x14ac:dyDescent="0.25">
      <c r="A12" s="18" t="str">
        <f t="shared" si="0"/>
        <v> BBS 130 </v>
      </c>
      <c r="B12" s="17" t="str">
        <f t="shared" si="1"/>
        <v>I</v>
      </c>
      <c r="C12" s="18">
        <f t="shared" si="2"/>
        <v>52839.505299999997</v>
      </c>
      <c r="D12" s="22" t="str">
        <f t="shared" si="3"/>
        <v>vis</v>
      </c>
      <c r="E12" s="53">
        <f>VLOOKUP(C12,Active!C$21:E$973,3,FALSE)</f>
        <v>881.99027920949163</v>
      </c>
      <c r="F12" s="17" t="s">
        <v>67</v>
      </c>
      <c r="G12" s="22" t="str">
        <f t="shared" si="4"/>
        <v>52839.5053</v>
      </c>
      <c r="H12" s="18">
        <f t="shared" si="5"/>
        <v>882</v>
      </c>
      <c r="I12" s="54" t="s">
        <v>99</v>
      </c>
      <c r="J12" s="55" t="s">
        <v>100</v>
      </c>
      <c r="K12" s="54">
        <v>882</v>
      </c>
      <c r="L12" s="54" t="s">
        <v>101</v>
      </c>
      <c r="M12" s="55" t="s">
        <v>73</v>
      </c>
      <c r="N12" s="55" t="s">
        <v>74</v>
      </c>
      <c r="O12" s="56" t="s">
        <v>75</v>
      </c>
      <c r="P12" s="56" t="s">
        <v>102</v>
      </c>
    </row>
    <row r="13" spans="1:16" ht="12.75" customHeight="1" thickBot="1" x14ac:dyDescent="0.25">
      <c r="A13" s="18" t="str">
        <f t="shared" si="0"/>
        <v> BBS 130 </v>
      </c>
      <c r="B13" s="17" t="str">
        <f t="shared" si="1"/>
        <v>I</v>
      </c>
      <c r="C13" s="18">
        <f t="shared" si="2"/>
        <v>53081.451000000001</v>
      </c>
      <c r="D13" s="22" t="str">
        <f t="shared" si="3"/>
        <v>vis</v>
      </c>
      <c r="E13" s="53">
        <f>VLOOKUP(C13,Active!C$21:E$973,3,FALSE)</f>
        <v>1511.0096596943451</v>
      </c>
      <c r="F13" s="17" t="s">
        <v>67</v>
      </c>
      <c r="G13" s="22" t="str">
        <f t="shared" si="4"/>
        <v>53081.451</v>
      </c>
      <c r="H13" s="18">
        <f t="shared" si="5"/>
        <v>1511</v>
      </c>
      <c r="I13" s="54" t="s">
        <v>103</v>
      </c>
      <c r="J13" s="55" t="s">
        <v>104</v>
      </c>
      <c r="K13" s="54">
        <v>1511</v>
      </c>
      <c r="L13" s="54" t="s">
        <v>85</v>
      </c>
      <c r="M13" s="55" t="s">
        <v>73</v>
      </c>
      <c r="N13" s="55" t="s">
        <v>74</v>
      </c>
      <c r="O13" s="56" t="s">
        <v>75</v>
      </c>
      <c r="P13" s="56" t="s">
        <v>102</v>
      </c>
    </row>
    <row r="14" spans="1:16" ht="12.75" customHeight="1" thickBot="1" x14ac:dyDescent="0.25">
      <c r="A14" s="18" t="str">
        <f t="shared" si="0"/>
        <v> BBS 131 (=IBVS 5653) </v>
      </c>
      <c r="B14" s="17" t="str">
        <f t="shared" si="1"/>
        <v>II</v>
      </c>
      <c r="C14" s="18">
        <f t="shared" si="2"/>
        <v>53445.51</v>
      </c>
      <c r="D14" s="22" t="str">
        <f t="shared" si="3"/>
        <v>vis</v>
      </c>
      <c r="E14" s="53">
        <f>VLOOKUP(C14,Active!C$21:E$973,3,FALSE)</f>
        <v>2457.5037145171109</v>
      </c>
      <c r="F14" s="17" t="s">
        <v>67</v>
      </c>
      <c r="G14" s="22" t="str">
        <f t="shared" si="4"/>
        <v>53445.510</v>
      </c>
      <c r="H14" s="18">
        <f t="shared" si="5"/>
        <v>2457.5</v>
      </c>
      <c r="I14" s="54" t="s">
        <v>105</v>
      </c>
      <c r="J14" s="55" t="s">
        <v>106</v>
      </c>
      <c r="K14" s="54">
        <v>2457.5</v>
      </c>
      <c r="L14" s="54" t="s">
        <v>107</v>
      </c>
      <c r="M14" s="55" t="s">
        <v>73</v>
      </c>
      <c r="N14" s="55" t="s">
        <v>74</v>
      </c>
      <c r="O14" s="56" t="s">
        <v>75</v>
      </c>
      <c r="P14" s="56" t="s">
        <v>108</v>
      </c>
    </row>
    <row r="15" spans="1:16" ht="12.75" customHeight="1" thickBot="1" x14ac:dyDescent="0.25">
      <c r="A15" s="18" t="str">
        <f t="shared" si="0"/>
        <v>BAVM 183 </v>
      </c>
      <c r="B15" s="17" t="str">
        <f t="shared" si="1"/>
        <v>I</v>
      </c>
      <c r="C15" s="18">
        <f t="shared" si="2"/>
        <v>53863.419900000001</v>
      </c>
      <c r="D15" s="22" t="str">
        <f t="shared" si="3"/>
        <v>vis</v>
      </c>
      <c r="E15" s="53">
        <f>VLOOKUP(C15,Active!C$21:E$973,3,FALSE)</f>
        <v>3544.0013311165467</v>
      </c>
      <c r="F15" s="17" t="s">
        <v>67</v>
      </c>
      <c r="G15" s="22" t="str">
        <f t="shared" si="4"/>
        <v>53863.4199</v>
      </c>
      <c r="H15" s="18">
        <f t="shared" si="5"/>
        <v>3544</v>
      </c>
      <c r="I15" s="54" t="s">
        <v>109</v>
      </c>
      <c r="J15" s="55" t="s">
        <v>110</v>
      </c>
      <c r="K15" s="54">
        <v>3544</v>
      </c>
      <c r="L15" s="54" t="s">
        <v>111</v>
      </c>
      <c r="M15" s="55" t="s">
        <v>112</v>
      </c>
      <c r="N15" s="55" t="s">
        <v>113</v>
      </c>
      <c r="O15" s="56" t="s">
        <v>114</v>
      </c>
      <c r="P15" s="57" t="s">
        <v>115</v>
      </c>
    </row>
    <row r="16" spans="1:16" ht="12.75" customHeight="1" thickBot="1" x14ac:dyDescent="0.25">
      <c r="A16" s="18" t="str">
        <f t="shared" si="0"/>
        <v> BBS 133 (=IBVS 5781) </v>
      </c>
      <c r="B16" s="17" t="str">
        <f t="shared" si="1"/>
        <v>I</v>
      </c>
      <c r="C16" s="18">
        <f t="shared" si="2"/>
        <v>53936.493000000002</v>
      </c>
      <c r="D16" s="22" t="str">
        <f t="shared" si="3"/>
        <v>vis</v>
      </c>
      <c r="E16" s="53">
        <f>VLOOKUP(C16,Active!C$21:E$973,3,FALSE)</f>
        <v>3733.9794794866475</v>
      </c>
      <c r="F16" s="17" t="s">
        <v>67</v>
      </c>
      <c r="G16" s="22" t="str">
        <f t="shared" si="4"/>
        <v>53936.493</v>
      </c>
      <c r="H16" s="18">
        <f t="shared" si="5"/>
        <v>3734</v>
      </c>
      <c r="I16" s="54" t="s">
        <v>116</v>
      </c>
      <c r="J16" s="55" t="s">
        <v>117</v>
      </c>
      <c r="K16" s="54">
        <v>3734</v>
      </c>
      <c r="L16" s="54" t="s">
        <v>118</v>
      </c>
      <c r="M16" s="55" t="s">
        <v>112</v>
      </c>
      <c r="N16" s="55" t="s">
        <v>119</v>
      </c>
      <c r="O16" s="56" t="s">
        <v>75</v>
      </c>
      <c r="P16" s="56" t="s">
        <v>120</v>
      </c>
    </row>
    <row r="17" spans="1:16" ht="12.75" customHeight="1" thickBot="1" x14ac:dyDescent="0.25">
      <c r="A17" s="18" t="str">
        <f t="shared" si="0"/>
        <v>IBVS 5820 </v>
      </c>
      <c r="B17" s="17" t="str">
        <f t="shared" si="1"/>
        <v>I</v>
      </c>
      <c r="C17" s="18">
        <f t="shared" si="2"/>
        <v>54161.902000000002</v>
      </c>
      <c r="D17" s="22" t="str">
        <f t="shared" si="3"/>
        <v>vis</v>
      </c>
      <c r="E17" s="53">
        <f>VLOOKUP(C17,Active!C$21:E$973,3,FALSE)</f>
        <v>4320.0061356153074</v>
      </c>
      <c r="F17" s="17" t="s">
        <v>67</v>
      </c>
      <c r="G17" s="22" t="str">
        <f t="shared" si="4"/>
        <v>54161.902</v>
      </c>
      <c r="H17" s="18">
        <f t="shared" si="5"/>
        <v>4320</v>
      </c>
      <c r="I17" s="54" t="s">
        <v>121</v>
      </c>
      <c r="J17" s="55" t="s">
        <v>122</v>
      </c>
      <c r="K17" s="54">
        <v>4320</v>
      </c>
      <c r="L17" s="54" t="s">
        <v>123</v>
      </c>
      <c r="M17" s="55" t="s">
        <v>112</v>
      </c>
      <c r="N17" s="55" t="s">
        <v>119</v>
      </c>
      <c r="O17" s="56" t="s">
        <v>124</v>
      </c>
      <c r="P17" s="57" t="s">
        <v>125</v>
      </c>
    </row>
    <row r="18" spans="1:16" ht="12.75" customHeight="1" thickBot="1" x14ac:dyDescent="0.25">
      <c r="A18" s="18" t="str">
        <f t="shared" si="0"/>
        <v>BAVM 186 </v>
      </c>
      <c r="B18" s="17" t="str">
        <f t="shared" si="1"/>
        <v>I</v>
      </c>
      <c r="C18" s="18">
        <f t="shared" si="2"/>
        <v>54186.514499999997</v>
      </c>
      <c r="D18" s="22" t="str">
        <f t="shared" si="3"/>
        <v>vis</v>
      </c>
      <c r="E18" s="53">
        <f>VLOOKUP(C18,Active!C$21:E$973,3,FALSE)</f>
        <v>4383.9946235371035</v>
      </c>
      <c r="F18" s="17" t="s">
        <v>67</v>
      </c>
      <c r="G18" s="22" t="str">
        <f t="shared" si="4"/>
        <v>54186.5145</v>
      </c>
      <c r="H18" s="18">
        <f t="shared" si="5"/>
        <v>4384</v>
      </c>
      <c r="I18" s="54" t="s">
        <v>126</v>
      </c>
      <c r="J18" s="55" t="s">
        <v>127</v>
      </c>
      <c r="K18" s="54">
        <v>4384</v>
      </c>
      <c r="L18" s="54" t="s">
        <v>128</v>
      </c>
      <c r="M18" s="55" t="s">
        <v>112</v>
      </c>
      <c r="N18" s="55" t="s">
        <v>129</v>
      </c>
      <c r="O18" s="56" t="s">
        <v>130</v>
      </c>
      <c r="P18" s="57" t="s">
        <v>131</v>
      </c>
    </row>
    <row r="19" spans="1:16" ht="12.75" customHeight="1" thickBot="1" x14ac:dyDescent="0.25">
      <c r="A19" s="18" t="str">
        <f t="shared" si="0"/>
        <v> BBS 133 (=IBVS 5781) </v>
      </c>
      <c r="B19" s="17" t="str">
        <f t="shared" si="1"/>
        <v>II</v>
      </c>
      <c r="C19" s="18">
        <f t="shared" si="2"/>
        <v>54197.475100000003</v>
      </c>
      <c r="D19" s="22" t="str">
        <f t="shared" si="3"/>
        <v>vis</v>
      </c>
      <c r="E19" s="53">
        <f>VLOOKUP(C19,Active!C$21:E$973,3,FALSE)</f>
        <v>4412.4903968521312</v>
      </c>
      <c r="F19" s="17" t="s">
        <v>67</v>
      </c>
      <c r="G19" s="22" t="str">
        <f t="shared" si="4"/>
        <v>54197.4751</v>
      </c>
      <c r="H19" s="18">
        <f t="shared" si="5"/>
        <v>4412.5</v>
      </c>
      <c r="I19" s="54" t="s">
        <v>132</v>
      </c>
      <c r="J19" s="55" t="s">
        <v>133</v>
      </c>
      <c r="K19" s="54" t="s">
        <v>134</v>
      </c>
      <c r="L19" s="54" t="s">
        <v>101</v>
      </c>
      <c r="M19" s="55" t="s">
        <v>112</v>
      </c>
      <c r="N19" s="55" t="s">
        <v>113</v>
      </c>
      <c r="O19" s="56" t="s">
        <v>75</v>
      </c>
      <c r="P19" s="56" t="s">
        <v>120</v>
      </c>
    </row>
    <row r="20" spans="1:16" ht="12.75" customHeight="1" thickBot="1" x14ac:dyDescent="0.25">
      <c r="A20" s="18" t="str">
        <f t="shared" si="0"/>
        <v>BAVM 186 </v>
      </c>
      <c r="B20" s="17" t="str">
        <f t="shared" si="1"/>
        <v>I</v>
      </c>
      <c r="C20" s="18">
        <f t="shared" si="2"/>
        <v>54201.520799999998</v>
      </c>
      <c r="D20" s="22" t="str">
        <f t="shared" si="3"/>
        <v>vis</v>
      </c>
      <c r="E20" s="53">
        <f>VLOOKUP(C20,Active!C$21:E$973,3,FALSE)</f>
        <v>4423.0085573634551</v>
      </c>
      <c r="F20" s="17" t="s">
        <v>67</v>
      </c>
      <c r="G20" s="22" t="str">
        <f t="shared" si="4"/>
        <v>54201.5208</v>
      </c>
      <c r="H20" s="18">
        <f t="shared" si="5"/>
        <v>4423</v>
      </c>
      <c r="I20" s="54" t="s">
        <v>135</v>
      </c>
      <c r="J20" s="55" t="s">
        <v>136</v>
      </c>
      <c r="K20" s="54" t="s">
        <v>137</v>
      </c>
      <c r="L20" s="54" t="s">
        <v>138</v>
      </c>
      <c r="M20" s="55" t="s">
        <v>112</v>
      </c>
      <c r="N20" s="55" t="s">
        <v>129</v>
      </c>
      <c r="O20" s="56" t="s">
        <v>130</v>
      </c>
      <c r="P20" s="57" t="s">
        <v>131</v>
      </c>
    </row>
    <row r="21" spans="1:16" ht="12.75" customHeight="1" thickBot="1" x14ac:dyDescent="0.25">
      <c r="A21" s="18" t="str">
        <f t="shared" si="0"/>
        <v>BAVM 186 </v>
      </c>
      <c r="B21" s="17" t="str">
        <f t="shared" si="1"/>
        <v>I</v>
      </c>
      <c r="C21" s="18">
        <f t="shared" si="2"/>
        <v>54213.440199999997</v>
      </c>
      <c r="D21" s="22" t="str">
        <f t="shared" si="3"/>
        <v>vis</v>
      </c>
      <c r="E21" s="53">
        <f>VLOOKUP(C21,Active!C$21:E$973,3,FALSE)</f>
        <v>4453.9970543846885</v>
      </c>
      <c r="F21" s="17" t="s">
        <v>67</v>
      </c>
      <c r="G21" s="22" t="str">
        <f t="shared" si="4"/>
        <v>54213.4402</v>
      </c>
      <c r="H21" s="18">
        <f t="shared" si="5"/>
        <v>4454</v>
      </c>
      <c r="I21" s="54" t="s">
        <v>139</v>
      </c>
      <c r="J21" s="55" t="s">
        <v>140</v>
      </c>
      <c r="K21" s="54" t="s">
        <v>141</v>
      </c>
      <c r="L21" s="54" t="s">
        <v>142</v>
      </c>
      <c r="M21" s="55" t="s">
        <v>112</v>
      </c>
      <c r="N21" s="55" t="s">
        <v>129</v>
      </c>
      <c r="O21" s="56" t="s">
        <v>130</v>
      </c>
      <c r="P21" s="57" t="s">
        <v>131</v>
      </c>
    </row>
    <row r="22" spans="1:16" ht="12.75" customHeight="1" thickBot="1" x14ac:dyDescent="0.25">
      <c r="A22" s="18" t="str">
        <f t="shared" si="0"/>
        <v>IBVS 5875 </v>
      </c>
      <c r="B22" s="17" t="str">
        <f t="shared" si="1"/>
        <v>II</v>
      </c>
      <c r="C22" s="18">
        <f t="shared" si="2"/>
        <v>54520.961199999998</v>
      </c>
      <c r="D22" s="22" t="str">
        <f t="shared" si="3"/>
        <v>vis</v>
      </c>
      <c r="E22" s="53">
        <f>VLOOKUP(C22,Active!C$21:E$973,3,FALSE)</f>
        <v>5253.5015254543541</v>
      </c>
      <c r="F22" s="17" t="s">
        <v>67</v>
      </c>
      <c r="G22" s="22" t="str">
        <f t="shared" si="4"/>
        <v>54520.9612</v>
      </c>
      <c r="H22" s="18">
        <f t="shared" si="5"/>
        <v>5253.5</v>
      </c>
      <c r="I22" s="54" t="s">
        <v>143</v>
      </c>
      <c r="J22" s="55" t="s">
        <v>144</v>
      </c>
      <c r="K22" s="54" t="s">
        <v>145</v>
      </c>
      <c r="L22" s="54" t="s">
        <v>146</v>
      </c>
      <c r="M22" s="55" t="s">
        <v>112</v>
      </c>
      <c r="N22" s="55" t="s">
        <v>59</v>
      </c>
      <c r="O22" s="56" t="s">
        <v>124</v>
      </c>
      <c r="P22" s="57" t="s">
        <v>147</v>
      </c>
    </row>
    <row r="23" spans="1:16" ht="12.75" customHeight="1" thickBot="1" x14ac:dyDescent="0.25">
      <c r="A23" s="18" t="str">
        <f t="shared" si="0"/>
        <v>BAVM 201 </v>
      </c>
      <c r="B23" s="17" t="str">
        <f t="shared" si="1"/>
        <v>I</v>
      </c>
      <c r="C23" s="18">
        <f t="shared" si="2"/>
        <v>54570.3868</v>
      </c>
      <c r="D23" s="22" t="str">
        <f t="shared" si="3"/>
        <v>vis</v>
      </c>
      <c r="E23" s="53">
        <f>VLOOKUP(C23,Active!C$21:E$973,3,FALSE)</f>
        <v>5382.0000285982132</v>
      </c>
      <c r="F23" s="17" t="s">
        <v>67</v>
      </c>
      <c r="G23" s="22" t="str">
        <f t="shared" si="4"/>
        <v>54570.3868</v>
      </c>
      <c r="H23" s="18">
        <f t="shared" si="5"/>
        <v>5382</v>
      </c>
      <c r="I23" s="54" t="s">
        <v>154</v>
      </c>
      <c r="J23" s="55" t="s">
        <v>155</v>
      </c>
      <c r="K23" s="54" t="s">
        <v>156</v>
      </c>
      <c r="L23" s="54" t="s">
        <v>157</v>
      </c>
      <c r="M23" s="55" t="s">
        <v>112</v>
      </c>
      <c r="N23" s="55" t="s">
        <v>129</v>
      </c>
      <c r="O23" s="56" t="s">
        <v>130</v>
      </c>
      <c r="P23" s="57" t="s">
        <v>158</v>
      </c>
    </row>
    <row r="24" spans="1:16" ht="12.75" customHeight="1" thickBot="1" x14ac:dyDescent="0.25">
      <c r="A24" s="18" t="str">
        <f t="shared" si="0"/>
        <v>BAVM 201 </v>
      </c>
      <c r="B24" s="17" t="str">
        <f t="shared" si="1"/>
        <v>II</v>
      </c>
      <c r="C24" s="18">
        <f t="shared" si="2"/>
        <v>54570.579599999997</v>
      </c>
      <c r="D24" s="22" t="str">
        <f t="shared" si="3"/>
        <v>vis</v>
      </c>
      <c r="E24" s="53">
        <f>VLOOKUP(C24,Active!C$21:E$973,3,FALSE)</f>
        <v>5382.5012771699203</v>
      </c>
      <c r="F24" s="17" t="s">
        <v>67</v>
      </c>
      <c r="G24" s="22" t="str">
        <f t="shared" si="4"/>
        <v>54570.5796</v>
      </c>
      <c r="H24" s="18">
        <f t="shared" si="5"/>
        <v>5382.5</v>
      </c>
      <c r="I24" s="54" t="s">
        <v>159</v>
      </c>
      <c r="J24" s="55" t="s">
        <v>160</v>
      </c>
      <c r="K24" s="54" t="s">
        <v>161</v>
      </c>
      <c r="L24" s="54" t="s">
        <v>111</v>
      </c>
      <c r="M24" s="55" t="s">
        <v>112</v>
      </c>
      <c r="N24" s="55" t="s">
        <v>129</v>
      </c>
      <c r="O24" s="56" t="s">
        <v>130</v>
      </c>
      <c r="P24" s="57" t="s">
        <v>158</v>
      </c>
    </row>
    <row r="25" spans="1:16" ht="12.75" customHeight="1" thickBot="1" x14ac:dyDescent="0.25">
      <c r="A25" s="18" t="str">
        <f t="shared" si="0"/>
        <v>BAVM 209 </v>
      </c>
      <c r="B25" s="17" t="str">
        <f t="shared" si="1"/>
        <v>I</v>
      </c>
      <c r="C25" s="18">
        <f t="shared" si="2"/>
        <v>54908.484700000001</v>
      </c>
      <c r="D25" s="22" t="str">
        <f t="shared" si="3"/>
        <v>vis</v>
      </c>
      <c r="E25" s="53">
        <f>VLOOKUP(C25,Active!C$21:E$973,3,FALSE)</f>
        <v>6260.9994553341585</v>
      </c>
      <c r="F25" s="17" t="s">
        <v>67</v>
      </c>
      <c r="G25" s="22" t="str">
        <f t="shared" si="4"/>
        <v>54908.4847</v>
      </c>
      <c r="H25" s="18">
        <f t="shared" si="5"/>
        <v>6261</v>
      </c>
      <c r="I25" s="54" t="s">
        <v>162</v>
      </c>
      <c r="J25" s="55" t="s">
        <v>163</v>
      </c>
      <c r="K25" s="54" t="s">
        <v>164</v>
      </c>
      <c r="L25" s="54" t="s">
        <v>165</v>
      </c>
      <c r="M25" s="55" t="s">
        <v>112</v>
      </c>
      <c r="N25" s="55" t="s">
        <v>113</v>
      </c>
      <c r="O25" s="56" t="s">
        <v>166</v>
      </c>
      <c r="P25" s="57" t="s">
        <v>167</v>
      </c>
    </row>
    <row r="26" spans="1:16" ht="12.75" customHeight="1" thickBot="1" x14ac:dyDescent="0.25">
      <c r="A26" s="18" t="str">
        <f t="shared" si="0"/>
        <v>BAVM 209 </v>
      </c>
      <c r="B26" s="17" t="str">
        <f t="shared" si="1"/>
        <v>I</v>
      </c>
      <c r="C26" s="18">
        <f t="shared" si="2"/>
        <v>54933.486599999997</v>
      </c>
      <c r="D26" s="22" t="str">
        <f t="shared" si="3"/>
        <v>vis</v>
      </c>
      <c r="E26" s="53">
        <f>VLOOKUP(C26,Active!C$21:E$973,3,FALSE)</f>
        <v>6326.000319779946</v>
      </c>
      <c r="F26" s="17" t="s">
        <v>67</v>
      </c>
      <c r="G26" s="22" t="str">
        <f t="shared" si="4"/>
        <v>54933.4866</v>
      </c>
      <c r="H26" s="18">
        <f t="shared" si="5"/>
        <v>6326</v>
      </c>
      <c r="I26" s="54" t="s">
        <v>168</v>
      </c>
      <c r="J26" s="55" t="s">
        <v>169</v>
      </c>
      <c r="K26" s="54" t="s">
        <v>170</v>
      </c>
      <c r="L26" s="54" t="s">
        <v>171</v>
      </c>
      <c r="M26" s="55" t="s">
        <v>112</v>
      </c>
      <c r="N26" s="55" t="s">
        <v>129</v>
      </c>
      <c r="O26" s="56" t="s">
        <v>130</v>
      </c>
      <c r="P26" s="57" t="s">
        <v>167</v>
      </c>
    </row>
    <row r="27" spans="1:16" ht="12.75" customHeight="1" thickBot="1" x14ac:dyDescent="0.25">
      <c r="A27" s="18" t="str">
        <f t="shared" si="0"/>
        <v>BAVM 209 </v>
      </c>
      <c r="B27" s="17" t="str">
        <f t="shared" si="1"/>
        <v>I</v>
      </c>
      <c r="C27" s="18">
        <f t="shared" si="2"/>
        <v>54945.410499999998</v>
      </c>
      <c r="D27" s="22" t="str">
        <f t="shared" si="3"/>
        <v>vis</v>
      </c>
      <c r="E27" s="53">
        <f>VLOOKUP(C27,Active!C$21:E$973,3,FALSE)</f>
        <v>6357.0005160676428</v>
      </c>
      <c r="F27" s="17" t="s">
        <v>67</v>
      </c>
      <c r="G27" s="22" t="str">
        <f t="shared" si="4"/>
        <v>54945.4105</v>
      </c>
      <c r="H27" s="18">
        <f t="shared" si="5"/>
        <v>6357</v>
      </c>
      <c r="I27" s="54" t="s">
        <v>172</v>
      </c>
      <c r="J27" s="55" t="s">
        <v>173</v>
      </c>
      <c r="K27" s="54" t="s">
        <v>174</v>
      </c>
      <c r="L27" s="54" t="s">
        <v>175</v>
      </c>
      <c r="M27" s="55" t="s">
        <v>112</v>
      </c>
      <c r="N27" s="55" t="s">
        <v>113</v>
      </c>
      <c r="O27" s="56" t="s">
        <v>166</v>
      </c>
      <c r="P27" s="57" t="s">
        <v>167</v>
      </c>
    </row>
    <row r="28" spans="1:16" ht="12.75" customHeight="1" thickBot="1" x14ac:dyDescent="0.25">
      <c r="A28" s="18" t="str">
        <f t="shared" si="0"/>
        <v>IBVS 5894 </v>
      </c>
      <c r="B28" s="17" t="str">
        <f t="shared" si="1"/>
        <v>I</v>
      </c>
      <c r="C28" s="18">
        <f t="shared" si="2"/>
        <v>54965.7952</v>
      </c>
      <c r="D28" s="22" t="str">
        <f t="shared" si="3"/>
        <v>vis</v>
      </c>
      <c r="E28" s="53">
        <f>VLOOKUP(C28,Active!C$21:E$973,3,FALSE)</f>
        <v>6409.9974131622012</v>
      </c>
      <c r="F28" s="17" t="s">
        <v>67</v>
      </c>
      <c r="G28" s="22" t="str">
        <f t="shared" si="4"/>
        <v>54965.7952</v>
      </c>
      <c r="H28" s="18">
        <f t="shared" si="5"/>
        <v>6410</v>
      </c>
      <c r="I28" s="54" t="s">
        <v>176</v>
      </c>
      <c r="J28" s="55" t="s">
        <v>177</v>
      </c>
      <c r="K28" s="54" t="s">
        <v>178</v>
      </c>
      <c r="L28" s="54" t="s">
        <v>179</v>
      </c>
      <c r="M28" s="55" t="s">
        <v>112</v>
      </c>
      <c r="N28" s="55" t="s">
        <v>67</v>
      </c>
      <c r="O28" s="56" t="s">
        <v>180</v>
      </c>
      <c r="P28" s="57" t="s">
        <v>181</v>
      </c>
    </row>
    <row r="29" spans="1:16" ht="12.75" customHeight="1" thickBot="1" x14ac:dyDescent="0.25">
      <c r="A29" s="18" t="str">
        <f t="shared" si="0"/>
        <v>BAVM 209 </v>
      </c>
      <c r="B29" s="17" t="str">
        <f t="shared" si="1"/>
        <v>I</v>
      </c>
      <c r="C29" s="18">
        <f t="shared" si="2"/>
        <v>54968.489000000001</v>
      </c>
      <c r="D29" s="22" t="str">
        <f t="shared" si="3"/>
        <v>vis</v>
      </c>
      <c r="E29" s="53">
        <f>VLOOKUP(C29,Active!C$21:E$973,3,FALSE)</f>
        <v>6417.0008540464605</v>
      </c>
      <c r="F29" s="17" t="s">
        <v>67</v>
      </c>
      <c r="G29" s="22" t="str">
        <f t="shared" si="4"/>
        <v>54968.4890</v>
      </c>
      <c r="H29" s="18">
        <f t="shared" si="5"/>
        <v>6417</v>
      </c>
      <c r="I29" s="54" t="s">
        <v>182</v>
      </c>
      <c r="J29" s="55" t="s">
        <v>183</v>
      </c>
      <c r="K29" s="54" t="s">
        <v>184</v>
      </c>
      <c r="L29" s="54" t="s">
        <v>185</v>
      </c>
      <c r="M29" s="55" t="s">
        <v>112</v>
      </c>
      <c r="N29" s="55" t="s">
        <v>129</v>
      </c>
      <c r="O29" s="56" t="s">
        <v>130</v>
      </c>
      <c r="P29" s="57" t="s">
        <v>167</v>
      </c>
    </row>
    <row r="30" spans="1:16" ht="12.75" customHeight="1" thickBot="1" x14ac:dyDescent="0.25">
      <c r="A30" s="18" t="str">
        <f t="shared" si="0"/>
        <v>IBVS 5920 </v>
      </c>
      <c r="B30" s="17" t="str">
        <f t="shared" si="1"/>
        <v>I</v>
      </c>
      <c r="C30" s="18">
        <f t="shared" si="2"/>
        <v>55015.408000000003</v>
      </c>
      <c r="D30" s="22" t="str">
        <f t="shared" si="3"/>
        <v>vis</v>
      </c>
      <c r="E30" s="53">
        <f>VLOOKUP(C30,Active!C$21:E$973,3,FALSE)</f>
        <v>6538.9826057906303</v>
      </c>
      <c r="F30" s="17" t="s">
        <v>67</v>
      </c>
      <c r="G30" s="22" t="str">
        <f t="shared" si="4"/>
        <v>55015.408</v>
      </c>
      <c r="H30" s="18">
        <f t="shared" si="5"/>
        <v>6539</v>
      </c>
      <c r="I30" s="54" t="s">
        <v>186</v>
      </c>
      <c r="J30" s="55" t="s">
        <v>187</v>
      </c>
      <c r="K30" s="54" t="s">
        <v>188</v>
      </c>
      <c r="L30" s="54" t="s">
        <v>189</v>
      </c>
      <c r="M30" s="55" t="s">
        <v>112</v>
      </c>
      <c r="N30" s="55" t="s">
        <v>59</v>
      </c>
      <c r="O30" s="56" t="s">
        <v>75</v>
      </c>
      <c r="P30" s="57" t="s">
        <v>190</v>
      </c>
    </row>
    <row r="31" spans="1:16" ht="12.75" customHeight="1" thickBot="1" x14ac:dyDescent="0.25">
      <c r="A31" s="18" t="str">
        <f t="shared" si="0"/>
        <v>BAVM 234 </v>
      </c>
      <c r="B31" s="17" t="str">
        <f t="shared" si="1"/>
        <v>I</v>
      </c>
      <c r="C31" s="18">
        <f t="shared" si="2"/>
        <v>55273.513899999998</v>
      </c>
      <c r="D31" s="22" t="str">
        <f t="shared" si="3"/>
        <v>vis</v>
      </c>
      <c r="E31" s="53">
        <f>VLOOKUP(C31,Active!C$21:E$973,3,FALSE)</f>
        <v>7210.0158720048257</v>
      </c>
      <c r="F31" s="17" t="s">
        <v>67</v>
      </c>
      <c r="G31" s="22" t="str">
        <f t="shared" si="4"/>
        <v>55273.5139</v>
      </c>
      <c r="H31" s="18">
        <f t="shared" si="5"/>
        <v>7210</v>
      </c>
      <c r="I31" s="54" t="s">
        <v>191</v>
      </c>
      <c r="J31" s="55" t="s">
        <v>192</v>
      </c>
      <c r="K31" s="54" t="s">
        <v>193</v>
      </c>
      <c r="L31" s="54" t="s">
        <v>194</v>
      </c>
      <c r="M31" s="55" t="s">
        <v>112</v>
      </c>
      <c r="N31" s="55" t="s">
        <v>113</v>
      </c>
      <c r="O31" s="56" t="s">
        <v>166</v>
      </c>
      <c r="P31" s="57" t="s">
        <v>195</v>
      </c>
    </row>
    <row r="32" spans="1:16" ht="12.75" customHeight="1" thickBot="1" x14ac:dyDescent="0.25">
      <c r="A32" s="18" t="str">
        <f t="shared" si="0"/>
        <v>BAVM 214 </v>
      </c>
      <c r="B32" s="17" t="str">
        <f t="shared" si="1"/>
        <v>I</v>
      </c>
      <c r="C32" s="18">
        <f t="shared" si="2"/>
        <v>55315.434800000003</v>
      </c>
      <c r="D32" s="22" t="str">
        <f t="shared" si="3"/>
        <v>vis</v>
      </c>
      <c r="E32" s="53">
        <f>VLOOKUP(C32,Active!C$21:E$973,3,FALSE)</f>
        <v>7319.0033784881816</v>
      </c>
      <c r="F32" s="17" t="s">
        <v>67</v>
      </c>
      <c r="G32" s="22" t="str">
        <f t="shared" si="4"/>
        <v>55315.4348</v>
      </c>
      <c r="H32" s="18">
        <f t="shared" si="5"/>
        <v>7319</v>
      </c>
      <c r="I32" s="54" t="s">
        <v>196</v>
      </c>
      <c r="J32" s="55" t="s">
        <v>197</v>
      </c>
      <c r="K32" s="54" t="s">
        <v>198</v>
      </c>
      <c r="L32" s="54" t="s">
        <v>199</v>
      </c>
      <c r="M32" s="55" t="s">
        <v>112</v>
      </c>
      <c r="N32" s="55" t="s">
        <v>129</v>
      </c>
      <c r="O32" s="56" t="s">
        <v>130</v>
      </c>
      <c r="P32" s="57" t="s">
        <v>200</v>
      </c>
    </row>
    <row r="33" spans="1:16" ht="12.75" customHeight="1" thickBot="1" x14ac:dyDescent="0.25">
      <c r="A33" s="18" t="str">
        <f t="shared" si="0"/>
        <v>IBVS 5960 </v>
      </c>
      <c r="B33" s="17" t="str">
        <f t="shared" si="1"/>
        <v>I</v>
      </c>
      <c r="C33" s="18">
        <f t="shared" si="2"/>
        <v>55398.512900000002</v>
      </c>
      <c r="D33" s="22" t="str">
        <f t="shared" si="3"/>
        <v>vis</v>
      </c>
      <c r="E33" s="53">
        <f>VLOOKUP(C33,Active!C$21:E$973,3,FALSE)</f>
        <v>7534.9928959454337</v>
      </c>
      <c r="F33" s="17" t="s">
        <v>67</v>
      </c>
      <c r="G33" s="22" t="str">
        <f t="shared" si="4"/>
        <v>55398.5129</v>
      </c>
      <c r="H33" s="18">
        <f t="shared" si="5"/>
        <v>7535</v>
      </c>
      <c r="I33" s="54" t="s">
        <v>206</v>
      </c>
      <c r="J33" s="55" t="s">
        <v>207</v>
      </c>
      <c r="K33" s="54" t="s">
        <v>208</v>
      </c>
      <c r="L33" s="54" t="s">
        <v>209</v>
      </c>
      <c r="M33" s="55" t="s">
        <v>112</v>
      </c>
      <c r="N33" s="55" t="s">
        <v>59</v>
      </c>
      <c r="O33" s="56" t="s">
        <v>75</v>
      </c>
      <c r="P33" s="57" t="s">
        <v>210</v>
      </c>
    </row>
    <row r="34" spans="1:16" ht="12.75" customHeight="1" thickBot="1" x14ac:dyDescent="0.25">
      <c r="A34" s="18" t="str">
        <f t="shared" si="0"/>
        <v>IBVS 5992 </v>
      </c>
      <c r="B34" s="17" t="str">
        <f t="shared" si="1"/>
        <v>I</v>
      </c>
      <c r="C34" s="18">
        <f t="shared" si="2"/>
        <v>55643.918299999998</v>
      </c>
      <c r="D34" s="22" t="str">
        <f t="shared" si="3"/>
        <v>vis</v>
      </c>
      <c r="E34" s="53">
        <f>VLOOKUP(C34,Active!C$21:E$973,3,FALSE)</f>
        <v>8173.0069324653332</v>
      </c>
      <c r="F34" s="17" t="s">
        <v>67</v>
      </c>
      <c r="G34" s="22" t="str">
        <f t="shared" si="4"/>
        <v>55643.9183</v>
      </c>
      <c r="H34" s="18">
        <f t="shared" si="5"/>
        <v>8173</v>
      </c>
      <c r="I34" s="54" t="s">
        <v>211</v>
      </c>
      <c r="J34" s="55" t="s">
        <v>212</v>
      </c>
      <c r="K34" s="54" t="s">
        <v>213</v>
      </c>
      <c r="L34" s="54" t="s">
        <v>214</v>
      </c>
      <c r="M34" s="55" t="s">
        <v>112</v>
      </c>
      <c r="N34" s="55" t="s">
        <v>67</v>
      </c>
      <c r="O34" s="56" t="s">
        <v>180</v>
      </c>
      <c r="P34" s="57" t="s">
        <v>215</v>
      </c>
    </row>
    <row r="35" spans="1:16" ht="12.75" customHeight="1" thickBot="1" x14ac:dyDescent="0.25">
      <c r="A35" s="18" t="str">
        <f t="shared" si="0"/>
        <v>BAVM 220 </v>
      </c>
      <c r="B35" s="17" t="str">
        <f t="shared" si="1"/>
        <v>II</v>
      </c>
      <c r="C35" s="18">
        <f t="shared" si="2"/>
        <v>55654.494200000001</v>
      </c>
      <c r="D35" s="22" t="str">
        <f t="shared" si="3"/>
        <v>vis</v>
      </c>
      <c r="E35" s="53">
        <f>VLOOKUP(C35,Active!C$21:E$973,3,FALSE)</f>
        <v>8200.502548490218</v>
      </c>
      <c r="F35" s="17" t="s">
        <v>67</v>
      </c>
      <c r="G35" s="22" t="str">
        <f t="shared" si="4"/>
        <v>55654.4942</v>
      </c>
      <c r="H35" s="18">
        <f t="shared" si="5"/>
        <v>8200.5</v>
      </c>
      <c r="I35" s="54" t="s">
        <v>216</v>
      </c>
      <c r="J35" s="55" t="s">
        <v>217</v>
      </c>
      <c r="K35" s="54" t="s">
        <v>218</v>
      </c>
      <c r="L35" s="54" t="s">
        <v>219</v>
      </c>
      <c r="M35" s="55" t="s">
        <v>112</v>
      </c>
      <c r="N35" s="55" t="s">
        <v>129</v>
      </c>
      <c r="O35" s="56" t="s">
        <v>130</v>
      </c>
      <c r="P35" s="57" t="s">
        <v>220</v>
      </c>
    </row>
    <row r="36" spans="1:16" ht="12.75" customHeight="1" thickBot="1" x14ac:dyDescent="0.25">
      <c r="A36" s="18" t="str">
        <f t="shared" si="0"/>
        <v>BAVM 220 </v>
      </c>
      <c r="B36" s="17" t="str">
        <f t="shared" si="1"/>
        <v>I</v>
      </c>
      <c r="C36" s="18">
        <f t="shared" si="2"/>
        <v>55667.378400000001</v>
      </c>
      <c r="D36" s="22" t="str">
        <f t="shared" si="3"/>
        <v>vis</v>
      </c>
      <c r="E36" s="53">
        <f>VLOOKUP(C36,Active!C$21:E$973,3,FALSE)</f>
        <v>8233.9993682396198</v>
      </c>
      <c r="F36" s="17" t="s">
        <v>67</v>
      </c>
      <c r="G36" s="22" t="str">
        <f t="shared" si="4"/>
        <v>55667.3784</v>
      </c>
      <c r="H36" s="18">
        <f t="shared" si="5"/>
        <v>8234</v>
      </c>
      <c r="I36" s="54" t="s">
        <v>221</v>
      </c>
      <c r="J36" s="55" t="s">
        <v>222</v>
      </c>
      <c r="K36" s="54" t="s">
        <v>223</v>
      </c>
      <c r="L36" s="54" t="s">
        <v>165</v>
      </c>
      <c r="M36" s="55" t="s">
        <v>112</v>
      </c>
      <c r="N36" s="55" t="s">
        <v>113</v>
      </c>
      <c r="O36" s="56" t="s">
        <v>166</v>
      </c>
      <c r="P36" s="57" t="s">
        <v>220</v>
      </c>
    </row>
    <row r="37" spans="1:16" ht="12.75" customHeight="1" thickBot="1" x14ac:dyDescent="0.25">
      <c r="A37" s="18" t="str">
        <f t="shared" si="0"/>
        <v>IBVS 5992 </v>
      </c>
      <c r="B37" s="17" t="str">
        <f t="shared" si="1"/>
        <v>I</v>
      </c>
      <c r="C37" s="18">
        <f t="shared" si="2"/>
        <v>55697.760799999996</v>
      </c>
      <c r="D37" s="22" t="str">
        <f t="shared" si="3"/>
        <v>vis</v>
      </c>
      <c r="E37" s="53">
        <f>VLOOKUP(C37,Active!C$21:E$973,3,FALSE)</f>
        <v>8312.9886556112888</v>
      </c>
      <c r="F37" s="17" t="s">
        <v>67</v>
      </c>
      <c r="G37" s="22" t="str">
        <f t="shared" si="4"/>
        <v>55697.7608</v>
      </c>
      <c r="H37" s="18">
        <f t="shared" si="5"/>
        <v>8313</v>
      </c>
      <c r="I37" s="54" t="s">
        <v>224</v>
      </c>
      <c r="J37" s="55" t="s">
        <v>225</v>
      </c>
      <c r="K37" s="54" t="s">
        <v>226</v>
      </c>
      <c r="L37" s="54" t="s">
        <v>227</v>
      </c>
      <c r="M37" s="55" t="s">
        <v>112</v>
      </c>
      <c r="N37" s="55" t="s">
        <v>67</v>
      </c>
      <c r="O37" s="56" t="s">
        <v>180</v>
      </c>
      <c r="P37" s="57" t="s">
        <v>215</v>
      </c>
    </row>
    <row r="38" spans="1:16" ht="12.75" customHeight="1" thickBot="1" x14ac:dyDescent="0.25">
      <c r="A38" s="18" t="str">
        <f t="shared" si="0"/>
        <v>BAVM 228 </v>
      </c>
      <c r="B38" s="17" t="str">
        <f t="shared" si="1"/>
        <v>II</v>
      </c>
      <c r="C38" s="18">
        <f t="shared" si="2"/>
        <v>56009.514900000002</v>
      </c>
      <c r="D38" s="22" t="str">
        <f t="shared" si="3"/>
        <v>vis</v>
      </c>
      <c r="E38" s="53">
        <f>VLOOKUP(C38,Active!C$21:E$973,3,FALSE)</f>
        <v>9123.4984966442698</v>
      </c>
      <c r="F38" s="17" t="s">
        <v>67</v>
      </c>
      <c r="G38" s="22" t="str">
        <f t="shared" si="4"/>
        <v>56009.5149</v>
      </c>
      <c r="H38" s="18">
        <f t="shared" si="5"/>
        <v>9123.5</v>
      </c>
      <c r="I38" s="54" t="s">
        <v>228</v>
      </c>
      <c r="J38" s="55" t="s">
        <v>229</v>
      </c>
      <c r="K38" s="54" t="s">
        <v>230</v>
      </c>
      <c r="L38" s="54" t="s">
        <v>231</v>
      </c>
      <c r="M38" s="55" t="s">
        <v>112</v>
      </c>
      <c r="N38" s="55" t="s">
        <v>129</v>
      </c>
      <c r="O38" s="56" t="s">
        <v>130</v>
      </c>
      <c r="P38" s="57" t="s">
        <v>232</v>
      </c>
    </row>
    <row r="39" spans="1:16" ht="12.75" customHeight="1" thickBot="1" x14ac:dyDescent="0.25">
      <c r="A39" s="18" t="str">
        <f t="shared" si="0"/>
        <v>IBVS 6029 </v>
      </c>
      <c r="B39" s="17" t="str">
        <f t="shared" si="1"/>
        <v>I</v>
      </c>
      <c r="C39" s="18">
        <f t="shared" si="2"/>
        <v>56023.943099999997</v>
      </c>
      <c r="D39" s="22" t="str">
        <f t="shared" si="3"/>
        <v>vis</v>
      </c>
      <c r="E39" s="53">
        <f>VLOOKUP(C39,Active!C$21:E$973,3,FALSE)</f>
        <v>9161.0094647065598</v>
      </c>
      <c r="F39" s="17" t="s">
        <v>67</v>
      </c>
      <c r="G39" s="22" t="str">
        <f t="shared" si="4"/>
        <v>56023.9431</v>
      </c>
      <c r="H39" s="18">
        <f t="shared" si="5"/>
        <v>9161</v>
      </c>
      <c r="I39" s="54" t="s">
        <v>233</v>
      </c>
      <c r="J39" s="55" t="s">
        <v>234</v>
      </c>
      <c r="K39" s="54" t="s">
        <v>235</v>
      </c>
      <c r="L39" s="54" t="s">
        <v>236</v>
      </c>
      <c r="M39" s="55" t="s">
        <v>112</v>
      </c>
      <c r="N39" s="55" t="s">
        <v>67</v>
      </c>
      <c r="O39" s="56" t="s">
        <v>180</v>
      </c>
      <c r="P39" s="57" t="s">
        <v>237</v>
      </c>
    </row>
    <row r="40" spans="1:16" ht="12.75" customHeight="1" thickBot="1" x14ac:dyDescent="0.25">
      <c r="A40" s="18" t="str">
        <f t="shared" si="0"/>
        <v>IBVS 6029 </v>
      </c>
      <c r="B40" s="17" t="str">
        <f t="shared" si="1"/>
        <v>I</v>
      </c>
      <c r="C40" s="18">
        <f t="shared" si="2"/>
        <v>56089.713900000002</v>
      </c>
      <c r="D40" s="22" t="str">
        <f t="shared" si="3"/>
        <v>vis</v>
      </c>
      <c r="E40" s="53">
        <f>VLOOKUP(C40,Active!C$21:E$973,3,FALSE)</f>
        <v>9332.0028234229831</v>
      </c>
      <c r="F40" s="17" t="s">
        <v>67</v>
      </c>
      <c r="G40" s="22" t="str">
        <f t="shared" si="4"/>
        <v>56089.7139</v>
      </c>
      <c r="H40" s="18">
        <f t="shared" si="5"/>
        <v>9332</v>
      </c>
      <c r="I40" s="54" t="s">
        <v>238</v>
      </c>
      <c r="J40" s="55" t="s">
        <v>239</v>
      </c>
      <c r="K40" s="54" t="s">
        <v>240</v>
      </c>
      <c r="L40" s="54" t="s">
        <v>151</v>
      </c>
      <c r="M40" s="55" t="s">
        <v>112</v>
      </c>
      <c r="N40" s="55" t="s">
        <v>67</v>
      </c>
      <c r="O40" s="56" t="s">
        <v>180</v>
      </c>
      <c r="P40" s="57" t="s">
        <v>237</v>
      </c>
    </row>
    <row r="41" spans="1:16" ht="12.75" customHeight="1" thickBot="1" x14ac:dyDescent="0.25">
      <c r="A41" s="18" t="str">
        <f t="shared" si="0"/>
        <v> BBS 125 </v>
      </c>
      <c r="B41" s="17" t="str">
        <f t="shared" si="1"/>
        <v>II</v>
      </c>
      <c r="C41" s="18">
        <f t="shared" si="2"/>
        <v>51996.562599999997</v>
      </c>
      <c r="D41" s="22" t="str">
        <f t="shared" si="3"/>
        <v>vis</v>
      </c>
      <c r="E41" s="53">
        <f>VLOOKUP(C41,Active!C$21:E$973,3,FALSE)</f>
        <v>-1309.5233328870288</v>
      </c>
      <c r="F41" s="17" t="s">
        <v>67</v>
      </c>
      <c r="G41" s="22" t="str">
        <f t="shared" si="4"/>
        <v>51996.5626</v>
      </c>
      <c r="H41" s="18">
        <f t="shared" si="5"/>
        <v>-1309.5</v>
      </c>
      <c r="I41" s="54" t="s">
        <v>70</v>
      </c>
      <c r="J41" s="55" t="s">
        <v>71</v>
      </c>
      <c r="K41" s="54">
        <v>-1309.5</v>
      </c>
      <c r="L41" s="54" t="s">
        <v>72</v>
      </c>
      <c r="M41" s="55" t="s">
        <v>73</v>
      </c>
      <c r="N41" s="55" t="s">
        <v>74</v>
      </c>
      <c r="O41" s="56" t="s">
        <v>75</v>
      </c>
      <c r="P41" s="56" t="s">
        <v>76</v>
      </c>
    </row>
    <row r="42" spans="1:16" ht="12.75" customHeight="1" thickBot="1" x14ac:dyDescent="0.25">
      <c r="A42" s="18" t="str">
        <f t="shared" si="0"/>
        <v> BBS 125 </v>
      </c>
      <c r="B42" s="17" t="str">
        <f t="shared" si="1"/>
        <v>I</v>
      </c>
      <c r="C42" s="18">
        <f t="shared" si="2"/>
        <v>52001.371400000004</v>
      </c>
      <c r="D42" s="22" t="str">
        <f t="shared" si="3"/>
        <v>vis</v>
      </c>
      <c r="E42" s="53">
        <f>VLOOKUP(C42,Active!C$21:E$973,3,FALSE)</f>
        <v>-1297.0212367684394</v>
      </c>
      <c r="F42" s="17" t="s">
        <v>67</v>
      </c>
      <c r="G42" s="22" t="str">
        <f t="shared" si="4"/>
        <v>52001.3714</v>
      </c>
      <c r="H42" s="18">
        <f t="shared" si="5"/>
        <v>-1297</v>
      </c>
      <c r="I42" s="54" t="s">
        <v>77</v>
      </c>
      <c r="J42" s="55" t="s">
        <v>78</v>
      </c>
      <c r="K42" s="54">
        <v>-1297</v>
      </c>
      <c r="L42" s="54" t="s">
        <v>79</v>
      </c>
      <c r="M42" s="55" t="s">
        <v>73</v>
      </c>
      <c r="N42" s="55" t="s">
        <v>74</v>
      </c>
      <c r="O42" s="56" t="s">
        <v>75</v>
      </c>
      <c r="P42" s="56" t="s">
        <v>76</v>
      </c>
    </row>
    <row r="43" spans="1:16" ht="12.75" customHeight="1" thickBot="1" x14ac:dyDescent="0.25">
      <c r="A43" s="18" t="str">
        <f t="shared" si="0"/>
        <v> BBS 125 </v>
      </c>
      <c r="B43" s="17" t="str">
        <f t="shared" si="1"/>
        <v>II</v>
      </c>
      <c r="C43" s="18">
        <f t="shared" si="2"/>
        <v>52001.565900000001</v>
      </c>
      <c r="D43" s="22" t="str">
        <f t="shared" si="3"/>
        <v>vis</v>
      </c>
      <c r="E43" s="53">
        <f>VLOOKUP(C43,Active!C$21:E$973,3,FALSE)</f>
        <v>-1296.5155684738472</v>
      </c>
      <c r="F43" s="17" t="s">
        <v>67</v>
      </c>
      <c r="G43" s="22" t="str">
        <f t="shared" si="4"/>
        <v>52001.5659</v>
      </c>
      <c r="H43" s="18">
        <f t="shared" si="5"/>
        <v>-1296.5</v>
      </c>
      <c r="I43" s="54" t="s">
        <v>80</v>
      </c>
      <c r="J43" s="55" t="s">
        <v>81</v>
      </c>
      <c r="K43" s="54">
        <v>-1296.5</v>
      </c>
      <c r="L43" s="54" t="s">
        <v>82</v>
      </c>
      <c r="M43" s="55" t="s">
        <v>73</v>
      </c>
      <c r="N43" s="55" t="s">
        <v>74</v>
      </c>
      <c r="O43" s="56" t="s">
        <v>75</v>
      </c>
      <c r="P43" s="56" t="s">
        <v>76</v>
      </c>
    </row>
    <row r="44" spans="1:16" ht="12.75" customHeight="1" thickBot="1" x14ac:dyDescent="0.25">
      <c r="A44" s="18" t="str">
        <f t="shared" si="0"/>
        <v> BBS 125 </v>
      </c>
      <c r="B44" s="17" t="str">
        <f t="shared" si="1"/>
        <v>II</v>
      </c>
      <c r="C44" s="18">
        <f t="shared" si="2"/>
        <v>52022.345999999998</v>
      </c>
      <c r="D44" s="22" t="str">
        <f t="shared" si="3"/>
        <v>vis</v>
      </c>
      <c r="E44" s="53">
        <f>VLOOKUP(C44,Active!C$21:E$973,3,FALSE)</f>
        <v>-1242.4906958333713</v>
      </c>
      <c r="F44" s="17" t="s">
        <v>67</v>
      </c>
      <c r="G44" s="22" t="str">
        <f t="shared" si="4"/>
        <v>52022.346</v>
      </c>
      <c r="H44" s="18">
        <f t="shared" si="5"/>
        <v>-1242.5</v>
      </c>
      <c r="I44" s="54" t="s">
        <v>83</v>
      </c>
      <c r="J44" s="55" t="s">
        <v>84</v>
      </c>
      <c r="K44" s="54">
        <v>-1242.5</v>
      </c>
      <c r="L44" s="54" t="s">
        <v>85</v>
      </c>
      <c r="M44" s="55" t="s">
        <v>73</v>
      </c>
      <c r="N44" s="55" t="s">
        <v>74</v>
      </c>
      <c r="O44" s="56" t="s">
        <v>75</v>
      </c>
      <c r="P44" s="56" t="s">
        <v>76</v>
      </c>
    </row>
    <row r="45" spans="1:16" ht="12.75" customHeight="1" thickBot="1" x14ac:dyDescent="0.25">
      <c r="A45" s="18" t="str">
        <f t="shared" si="0"/>
        <v> BBS 125 </v>
      </c>
      <c r="B45" s="17" t="str">
        <f t="shared" si="1"/>
        <v>I</v>
      </c>
      <c r="C45" s="18">
        <f t="shared" si="2"/>
        <v>52022.529399999999</v>
      </c>
      <c r="D45" s="22" t="str">
        <f t="shared" si="3"/>
        <v>vis</v>
      </c>
      <c r="E45" s="53">
        <f>VLOOKUP(C45,Active!C$21:E$973,3,FALSE)</f>
        <v>-1242.0138857293605</v>
      </c>
      <c r="F45" s="17" t="s">
        <v>67</v>
      </c>
      <c r="G45" s="22" t="str">
        <f t="shared" si="4"/>
        <v>52022.5294</v>
      </c>
      <c r="H45" s="18">
        <f t="shared" si="5"/>
        <v>-1242</v>
      </c>
      <c r="I45" s="54" t="s">
        <v>86</v>
      </c>
      <c r="J45" s="55" t="s">
        <v>87</v>
      </c>
      <c r="K45" s="54">
        <v>-1242</v>
      </c>
      <c r="L45" s="54" t="s">
        <v>88</v>
      </c>
      <c r="M45" s="55" t="s">
        <v>73</v>
      </c>
      <c r="N45" s="55" t="s">
        <v>74</v>
      </c>
      <c r="O45" s="56" t="s">
        <v>75</v>
      </c>
      <c r="P45" s="56" t="s">
        <v>76</v>
      </c>
    </row>
    <row r="46" spans="1:16" ht="12.75" customHeight="1" thickBot="1" x14ac:dyDescent="0.25">
      <c r="A46" s="18" t="str">
        <f t="shared" si="0"/>
        <v> BBS 125 </v>
      </c>
      <c r="B46" s="17" t="str">
        <f t="shared" si="1"/>
        <v>II</v>
      </c>
      <c r="C46" s="18">
        <f t="shared" si="2"/>
        <v>52041.564899999998</v>
      </c>
      <c r="D46" s="22" t="str">
        <f t="shared" si="3"/>
        <v>vis</v>
      </c>
      <c r="E46" s="53">
        <f>VLOOKUP(C46,Active!C$21:E$973,3,FALSE)</f>
        <v>-1192.5246887020189</v>
      </c>
      <c r="F46" s="17" t="s">
        <v>67</v>
      </c>
      <c r="G46" s="22" t="str">
        <f t="shared" si="4"/>
        <v>52041.5649</v>
      </c>
      <c r="H46" s="18">
        <f t="shared" si="5"/>
        <v>-1192.5</v>
      </c>
      <c r="I46" s="54" t="s">
        <v>89</v>
      </c>
      <c r="J46" s="55" t="s">
        <v>90</v>
      </c>
      <c r="K46" s="54">
        <v>-1192.5</v>
      </c>
      <c r="L46" s="54" t="s">
        <v>91</v>
      </c>
      <c r="M46" s="55" t="s">
        <v>73</v>
      </c>
      <c r="N46" s="55" t="s">
        <v>74</v>
      </c>
      <c r="O46" s="56" t="s">
        <v>75</v>
      </c>
      <c r="P46" s="56" t="s">
        <v>76</v>
      </c>
    </row>
    <row r="47" spans="1:16" ht="12.75" customHeight="1" thickBot="1" x14ac:dyDescent="0.25">
      <c r="A47" s="18" t="str">
        <f t="shared" si="0"/>
        <v> BBS 128 </v>
      </c>
      <c r="B47" s="17" t="str">
        <f t="shared" si="1"/>
        <v>II</v>
      </c>
      <c r="C47" s="18">
        <f t="shared" si="2"/>
        <v>52367.359299999996</v>
      </c>
      <c r="D47" s="22" t="str">
        <f t="shared" si="3"/>
        <v>vis</v>
      </c>
      <c r="E47" s="53">
        <f>VLOOKUP(C47,Active!C$21:E$973,3,FALSE)</f>
        <v>-345.51235637525878</v>
      </c>
      <c r="F47" s="17" t="s">
        <v>67</v>
      </c>
      <c r="G47" s="22" t="str">
        <f t="shared" si="4"/>
        <v>52367.3593</v>
      </c>
      <c r="H47" s="18">
        <f t="shared" si="5"/>
        <v>-345.5</v>
      </c>
      <c r="I47" s="54" t="s">
        <v>92</v>
      </c>
      <c r="J47" s="55" t="s">
        <v>93</v>
      </c>
      <c r="K47" s="54">
        <v>-345.5</v>
      </c>
      <c r="L47" s="54" t="s">
        <v>94</v>
      </c>
      <c r="M47" s="55" t="s">
        <v>73</v>
      </c>
      <c r="N47" s="55" t="s">
        <v>74</v>
      </c>
      <c r="O47" s="56" t="s">
        <v>75</v>
      </c>
      <c r="P47" s="56" t="s">
        <v>95</v>
      </c>
    </row>
    <row r="48" spans="1:16" ht="12.75" customHeight="1" thickBot="1" x14ac:dyDescent="0.25">
      <c r="A48" s="18" t="str">
        <f t="shared" si="0"/>
        <v>VSB 48 </v>
      </c>
      <c r="B48" s="17" t="str">
        <f t="shared" si="1"/>
        <v>II</v>
      </c>
      <c r="C48" s="18">
        <f t="shared" si="2"/>
        <v>54565.195299999999</v>
      </c>
      <c r="D48" s="22" t="str">
        <f t="shared" si="3"/>
        <v>vis</v>
      </c>
      <c r="E48" s="53">
        <f>VLOOKUP(C48,Active!C$21:E$973,3,FALSE)</f>
        <v>5368.5029748634797</v>
      </c>
      <c r="F48" s="17" t="s">
        <v>67</v>
      </c>
      <c r="G48" s="22" t="str">
        <f t="shared" si="4"/>
        <v>54565.1953</v>
      </c>
      <c r="H48" s="18">
        <f t="shared" si="5"/>
        <v>5368.5</v>
      </c>
      <c r="I48" s="54" t="s">
        <v>148</v>
      </c>
      <c r="J48" s="55" t="s">
        <v>149</v>
      </c>
      <c r="K48" s="54" t="s">
        <v>150</v>
      </c>
      <c r="L48" s="54" t="s">
        <v>151</v>
      </c>
      <c r="M48" s="55" t="s">
        <v>112</v>
      </c>
      <c r="N48" s="55" t="s">
        <v>67</v>
      </c>
      <c r="O48" s="56" t="s">
        <v>152</v>
      </c>
      <c r="P48" s="57" t="s">
        <v>153</v>
      </c>
    </row>
    <row r="49" spans="1:16" ht="12.75" customHeight="1" thickBot="1" x14ac:dyDescent="0.25">
      <c r="A49" s="18" t="str">
        <f t="shared" si="0"/>
        <v>OEJV 0162 </v>
      </c>
      <c r="B49" s="17" t="str">
        <f t="shared" si="1"/>
        <v>I</v>
      </c>
      <c r="C49" s="18">
        <f t="shared" si="2"/>
        <v>55339.667999999998</v>
      </c>
      <c r="D49" s="22" t="str">
        <f t="shared" si="3"/>
        <v>vis</v>
      </c>
      <c r="E49" s="53">
        <f>VLOOKUP(C49,Active!C$21:E$973,3,FALSE)</f>
        <v>7382.005748239585</v>
      </c>
      <c r="F49" s="17" t="s">
        <v>67</v>
      </c>
      <c r="G49" s="22" t="str">
        <f t="shared" si="4"/>
        <v>55339.668</v>
      </c>
      <c r="H49" s="18">
        <f t="shared" si="5"/>
        <v>7382</v>
      </c>
      <c r="I49" s="54" t="s">
        <v>201</v>
      </c>
      <c r="J49" s="55" t="s">
        <v>202</v>
      </c>
      <c r="K49" s="54" t="s">
        <v>203</v>
      </c>
      <c r="L49" s="54" t="s">
        <v>123</v>
      </c>
      <c r="M49" s="55" t="s">
        <v>112</v>
      </c>
      <c r="N49" s="55" t="s">
        <v>113</v>
      </c>
      <c r="O49" s="56" t="s">
        <v>204</v>
      </c>
      <c r="P49" s="57" t="s">
        <v>205</v>
      </c>
    </row>
    <row r="50" spans="1:16" x14ac:dyDescent="0.2">
      <c r="B50" s="17"/>
      <c r="F50" s="17"/>
    </row>
    <row r="51" spans="1:16" x14ac:dyDescent="0.2">
      <c r="B51" s="17"/>
      <c r="F51" s="17"/>
    </row>
    <row r="52" spans="1:16" x14ac:dyDescent="0.2">
      <c r="B52" s="17"/>
      <c r="F52" s="17"/>
    </row>
    <row r="53" spans="1:16" x14ac:dyDescent="0.2">
      <c r="B53" s="17"/>
      <c r="F53" s="17"/>
    </row>
    <row r="54" spans="1:16" x14ac:dyDescent="0.2">
      <c r="B54" s="17"/>
      <c r="F54" s="17"/>
    </row>
    <row r="55" spans="1:16" x14ac:dyDescent="0.2">
      <c r="B55" s="17"/>
      <c r="F55" s="17"/>
    </row>
    <row r="56" spans="1:16" x14ac:dyDescent="0.2">
      <c r="B56" s="17"/>
      <c r="F56" s="17"/>
    </row>
    <row r="57" spans="1:16" x14ac:dyDescent="0.2">
      <c r="B57" s="17"/>
      <c r="F57" s="17"/>
    </row>
    <row r="58" spans="1:16" x14ac:dyDescent="0.2">
      <c r="B58" s="17"/>
      <c r="F58" s="17"/>
    </row>
    <row r="59" spans="1:16" x14ac:dyDescent="0.2">
      <c r="B59" s="17"/>
      <c r="F59" s="17"/>
    </row>
    <row r="60" spans="1:16" x14ac:dyDescent="0.2">
      <c r="B60" s="17"/>
      <c r="F60" s="17"/>
    </row>
    <row r="61" spans="1:16" x14ac:dyDescent="0.2">
      <c r="B61" s="17"/>
      <c r="F61" s="17"/>
    </row>
    <row r="62" spans="1:16" x14ac:dyDescent="0.2">
      <c r="B62" s="17"/>
      <c r="F62" s="17"/>
    </row>
    <row r="63" spans="1:16" x14ac:dyDescent="0.2">
      <c r="B63" s="17"/>
      <c r="F63" s="17"/>
    </row>
    <row r="64" spans="1:1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</sheetData>
  <phoneticPr fontId="8" type="noConversion"/>
  <hyperlinks>
    <hyperlink ref="A3" r:id="rId1"/>
    <hyperlink ref="P15" r:id="rId2" display="http://www.bav-astro.de/sfs/BAVM_link.php?BAVMnr=183"/>
    <hyperlink ref="P17" r:id="rId3" display="http://www.konkoly.hu/cgi-bin/IBVS?5820"/>
    <hyperlink ref="P18" r:id="rId4" display="http://www.bav-astro.de/sfs/BAVM_link.php?BAVMnr=186"/>
    <hyperlink ref="P20" r:id="rId5" display="http://www.bav-astro.de/sfs/BAVM_link.php?BAVMnr=186"/>
    <hyperlink ref="P21" r:id="rId6" display="http://www.bav-astro.de/sfs/BAVM_link.php?BAVMnr=186"/>
    <hyperlink ref="P22" r:id="rId7" display="http://www.konkoly.hu/cgi-bin/IBVS?5875"/>
    <hyperlink ref="P48" r:id="rId8" display="http://vsolj.cetus-net.org/no48.pdf"/>
    <hyperlink ref="P23" r:id="rId9" display="http://www.bav-astro.de/sfs/BAVM_link.php?BAVMnr=201"/>
    <hyperlink ref="P24" r:id="rId10" display="http://www.bav-astro.de/sfs/BAVM_link.php?BAVMnr=201"/>
    <hyperlink ref="P25" r:id="rId11" display="http://www.bav-astro.de/sfs/BAVM_link.php?BAVMnr=209"/>
    <hyperlink ref="P26" r:id="rId12" display="http://www.bav-astro.de/sfs/BAVM_link.php?BAVMnr=209"/>
    <hyperlink ref="P27" r:id="rId13" display="http://www.bav-astro.de/sfs/BAVM_link.php?BAVMnr=209"/>
    <hyperlink ref="P28" r:id="rId14" display="http://www.konkoly.hu/cgi-bin/IBVS?5894"/>
    <hyperlink ref="P29" r:id="rId15" display="http://www.bav-astro.de/sfs/BAVM_link.php?BAVMnr=209"/>
    <hyperlink ref="P30" r:id="rId16" display="http://www.konkoly.hu/cgi-bin/IBVS?5920"/>
    <hyperlink ref="P31" r:id="rId17" display="http://www.bav-astro.de/sfs/BAVM_link.php?BAVMnr=234"/>
    <hyperlink ref="P32" r:id="rId18" display="http://www.bav-astro.de/sfs/BAVM_link.php?BAVMnr=214"/>
    <hyperlink ref="P49" r:id="rId19" display="http://var.astro.cz/oejv/issues/oejv0162.pdf"/>
    <hyperlink ref="P33" r:id="rId20" display="http://www.konkoly.hu/cgi-bin/IBVS?5960"/>
    <hyperlink ref="P34" r:id="rId21" display="http://www.konkoly.hu/cgi-bin/IBVS?5992"/>
    <hyperlink ref="P35" r:id="rId22" display="http://www.bav-astro.de/sfs/BAVM_link.php?BAVMnr=220"/>
    <hyperlink ref="P36" r:id="rId23" display="http://www.bav-astro.de/sfs/BAVM_link.php?BAVMnr=220"/>
    <hyperlink ref="P37" r:id="rId24" display="http://www.konkoly.hu/cgi-bin/IBVS?5992"/>
    <hyperlink ref="P38" r:id="rId25" display="http://www.bav-astro.de/sfs/BAVM_link.php?BAVMnr=228"/>
    <hyperlink ref="P39" r:id="rId26" display="http://www.konkoly.hu/cgi-bin/IBVS?6029"/>
    <hyperlink ref="P40" r:id="rId27" display="http://www.konkoly.hu/cgi-bin/IBVS?602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B5" sqref="B5"/>
    </sheetView>
  </sheetViews>
  <sheetFormatPr defaultRowHeight="12.75" x14ac:dyDescent="0.2"/>
  <cols>
    <col min="1" max="1" width="14.140625" customWidth="1"/>
    <col min="3" max="3" width="14" style="18" customWidth="1"/>
  </cols>
  <sheetData>
    <row r="1" spans="1:6" x14ac:dyDescent="0.2">
      <c r="A1" t="s">
        <v>274</v>
      </c>
    </row>
    <row r="11" spans="1:6" x14ac:dyDescent="0.2">
      <c r="A11" t="s">
        <v>248</v>
      </c>
      <c r="C11" s="18">
        <v>51274.781999999999</v>
      </c>
      <c r="D11" t="s">
        <v>247</v>
      </c>
      <c r="F11">
        <f>VLOOKUP(C11,Active!C$21:E$66,3,FALSE)</f>
        <v>-3186.0352355907244</v>
      </c>
    </row>
    <row r="12" spans="1:6" x14ac:dyDescent="0.2">
      <c r="A12" t="s">
        <v>253</v>
      </c>
      <c r="C12" s="18">
        <v>51996.562599999997</v>
      </c>
      <c r="D12">
        <v>1.1000000000000001E-3</v>
      </c>
      <c r="F12">
        <f>VLOOKUP(C12,Active!C$21:E$66,3,FALSE)</f>
        <v>-1309.5233328870288</v>
      </c>
    </row>
    <row r="13" spans="1:6" x14ac:dyDescent="0.2">
      <c r="A13" t="s">
        <v>253</v>
      </c>
      <c r="C13" s="18">
        <v>52001.371400000004</v>
      </c>
      <c r="D13">
        <v>5.9999999999999995E-4</v>
      </c>
      <c r="F13">
        <f>VLOOKUP(C13,Active!C$21:E$66,3,FALSE)</f>
        <v>-1297.0212367684394</v>
      </c>
    </row>
    <row r="14" spans="1:6" x14ac:dyDescent="0.2">
      <c r="A14" t="s">
        <v>253</v>
      </c>
      <c r="C14" s="18">
        <v>52001.565900000001</v>
      </c>
      <c r="D14">
        <v>1E-3</v>
      </c>
      <c r="F14">
        <f>VLOOKUP(C14,Active!C$21:E$66,3,FALSE)</f>
        <v>-1296.5155684738472</v>
      </c>
    </row>
    <row r="15" spans="1:6" x14ac:dyDescent="0.2">
      <c r="A15" t="s">
        <v>253</v>
      </c>
      <c r="C15" s="18">
        <v>52022.345999999998</v>
      </c>
      <c r="D15">
        <v>3.0000000000000001E-3</v>
      </c>
      <c r="F15">
        <f>VLOOKUP(C15,Active!C$21:E$66,3,FALSE)</f>
        <v>-1242.4906958333713</v>
      </c>
    </row>
    <row r="16" spans="1:6" x14ac:dyDescent="0.2">
      <c r="A16" t="s">
        <v>253</v>
      </c>
      <c r="C16" s="18">
        <v>52022.529399999999</v>
      </c>
      <c r="D16">
        <v>1.6999999999999999E-3</v>
      </c>
      <c r="F16">
        <f>VLOOKUP(C16,Active!C$21:E$66,3,FALSE)</f>
        <v>-1242.0138857293605</v>
      </c>
    </row>
    <row r="17" spans="1:6" x14ac:dyDescent="0.2">
      <c r="A17" t="s">
        <v>253</v>
      </c>
      <c r="C17" s="18">
        <v>52041.564899999998</v>
      </c>
      <c r="D17">
        <v>8.9999999999999998E-4</v>
      </c>
      <c r="F17">
        <f>VLOOKUP(C17,Active!C$21:E$66,3,FALSE)</f>
        <v>-1192.5246887020189</v>
      </c>
    </row>
    <row r="18" spans="1:6" x14ac:dyDescent="0.2">
      <c r="A18" t="s">
        <v>253</v>
      </c>
      <c r="C18" s="18">
        <v>52367.359299999996</v>
      </c>
      <c r="D18">
        <v>1.5E-3</v>
      </c>
      <c r="F18">
        <f>VLOOKUP(C18,Active!C$21:E$66,3,FALSE)</f>
        <v>-345.51235637525878</v>
      </c>
    </row>
    <row r="19" spans="1:6" x14ac:dyDescent="0.2">
      <c r="A19" t="s">
        <v>248</v>
      </c>
      <c r="C19" s="18">
        <v>52699.877</v>
      </c>
      <c r="D19" t="s">
        <v>247</v>
      </c>
      <c r="F19">
        <f>VLOOKUP(C19,Active!C$21:E$66,3,FALSE)</f>
        <v>518.97945998786554</v>
      </c>
    </row>
    <row r="20" spans="1:6" x14ac:dyDescent="0.2">
      <c r="A20" t="s">
        <v>254</v>
      </c>
      <c r="C20" s="18">
        <v>52763.347000000002</v>
      </c>
      <c r="D20">
        <v>3.0000000000000001E-3</v>
      </c>
      <c r="F20">
        <f>VLOOKUP(C20,Active!C$21:E$66,3,FALSE)</f>
        <v>683.99111375717723</v>
      </c>
    </row>
    <row r="21" spans="1:6" x14ac:dyDescent="0.2">
      <c r="A21" t="s">
        <v>255</v>
      </c>
      <c r="C21" s="18">
        <v>52839.505299999997</v>
      </c>
      <c r="D21">
        <v>1.1999999999999999E-3</v>
      </c>
      <c r="F21">
        <f>VLOOKUP(C21,Active!C$21:E$66,3,FALSE)</f>
        <v>881.99027920949163</v>
      </c>
    </row>
    <row r="22" spans="1:6" x14ac:dyDescent="0.2">
      <c r="A22" t="s">
        <v>255</v>
      </c>
      <c r="C22" s="18">
        <v>53081.451000000001</v>
      </c>
      <c r="D22">
        <v>2E-3</v>
      </c>
      <c r="F22">
        <f>VLOOKUP(C22,Active!C$21:E$66,3,FALSE)</f>
        <v>1511.0096596943451</v>
      </c>
    </row>
    <row r="23" spans="1:6" x14ac:dyDescent="0.2">
      <c r="A23" t="s">
        <v>256</v>
      </c>
      <c r="C23" s="18">
        <v>53445.51</v>
      </c>
      <c r="D23">
        <v>2E-3</v>
      </c>
      <c r="F23">
        <f>VLOOKUP(C23,Active!C$21:E$66,3,FALSE)</f>
        <v>2457.5037145171109</v>
      </c>
    </row>
    <row r="24" spans="1:6" x14ac:dyDescent="0.2">
      <c r="A24" t="s">
        <v>257</v>
      </c>
      <c r="C24" s="18">
        <v>53863.419900000001</v>
      </c>
      <c r="D24">
        <v>8.9999999999999998E-4</v>
      </c>
      <c r="F24">
        <f>VLOOKUP(C24,Active!C$21:E$66,3,FALSE)</f>
        <v>3544.0013311165467</v>
      </c>
    </row>
    <row r="25" spans="1:6" x14ac:dyDescent="0.2">
      <c r="A25" t="s">
        <v>258</v>
      </c>
      <c r="C25" s="18">
        <v>53936.493000000002</v>
      </c>
      <c r="D25">
        <v>4.0000000000000001E-3</v>
      </c>
      <c r="F25">
        <f>VLOOKUP(C25,Active!C$21:E$66,3,FALSE)</f>
        <v>3733.9794794866475</v>
      </c>
    </row>
    <row r="26" spans="1:6" x14ac:dyDescent="0.2">
      <c r="A26" t="s">
        <v>259</v>
      </c>
      <c r="C26" s="18">
        <v>54161.902000000002</v>
      </c>
      <c r="D26">
        <v>1E-3</v>
      </c>
      <c r="F26">
        <f>VLOOKUP(C26,Active!C$21:E$66,3,FALSE)</f>
        <v>4320.0061356153074</v>
      </c>
    </row>
    <row r="27" spans="1:6" x14ac:dyDescent="0.2">
      <c r="A27" t="s">
        <v>260</v>
      </c>
      <c r="C27" s="18">
        <v>54186.514499999997</v>
      </c>
      <c r="D27">
        <v>3.0999999999999999E-3</v>
      </c>
      <c r="F27">
        <f>VLOOKUP(C27,Active!C$21:E$66,3,FALSE)</f>
        <v>4383.9946235371035</v>
      </c>
    </row>
    <row r="28" spans="1:6" x14ac:dyDescent="0.2">
      <c r="A28" t="s">
        <v>258</v>
      </c>
      <c r="C28" s="18">
        <v>54197.475100000003</v>
      </c>
      <c r="D28">
        <v>1.4E-3</v>
      </c>
      <c r="F28">
        <f>VLOOKUP(C28,Active!C$21:E$66,3,FALSE)</f>
        <v>4412.4903968521312</v>
      </c>
    </row>
    <row r="29" spans="1:6" x14ac:dyDescent="0.2">
      <c r="A29" t="s">
        <v>260</v>
      </c>
      <c r="C29" s="18">
        <v>54201.520799999998</v>
      </c>
      <c r="D29">
        <v>1.1999999999999999E-3</v>
      </c>
      <c r="F29">
        <f>VLOOKUP(C29,Active!C$21:E$66,3,FALSE)</f>
        <v>4423.0085573634551</v>
      </c>
    </row>
    <row r="30" spans="1:6" x14ac:dyDescent="0.2">
      <c r="A30" t="s">
        <v>260</v>
      </c>
      <c r="C30" s="18">
        <v>54213.440199999997</v>
      </c>
      <c r="D30">
        <v>2.2000000000000001E-3</v>
      </c>
      <c r="F30">
        <f>VLOOKUP(C30,Active!C$21:E$66,3,FALSE)</f>
        <v>4453.9970543846885</v>
      </c>
    </row>
    <row r="31" spans="1:6" x14ac:dyDescent="0.2">
      <c r="A31" t="s">
        <v>261</v>
      </c>
      <c r="C31" s="18">
        <v>54520.961199999998</v>
      </c>
      <c r="D31">
        <v>2.9999999999999997E-4</v>
      </c>
      <c r="F31">
        <f>VLOOKUP(C31,Active!C$21:E$66,3,FALSE)</f>
        <v>5253.5015254543541</v>
      </c>
    </row>
    <row r="32" spans="1:6" x14ac:dyDescent="0.2">
      <c r="A32" t="s">
        <v>262</v>
      </c>
      <c r="C32" s="18">
        <v>54565.195299999999</v>
      </c>
      <c r="D32" t="s">
        <v>247</v>
      </c>
      <c r="F32">
        <f>VLOOKUP(C32,Active!C$21:E$66,3,FALSE)</f>
        <v>5368.5029748634797</v>
      </c>
    </row>
    <row r="33" spans="1:6" x14ac:dyDescent="0.2">
      <c r="A33" t="s">
        <v>263</v>
      </c>
      <c r="C33" s="18">
        <v>54570.3868</v>
      </c>
      <c r="D33">
        <v>1.1000000000000001E-3</v>
      </c>
      <c r="F33">
        <f>VLOOKUP(C33,Active!C$21:E$66,3,FALSE)</f>
        <v>5382.0000285982132</v>
      </c>
    </row>
    <row r="34" spans="1:6" x14ac:dyDescent="0.2">
      <c r="A34" t="s">
        <v>264</v>
      </c>
      <c r="C34" s="18">
        <v>54570.579599999997</v>
      </c>
      <c r="D34">
        <v>1.6999999999999999E-3</v>
      </c>
      <c r="F34">
        <f>VLOOKUP(C34,Active!C$21:E$66,3,FALSE)</f>
        <v>5382.5012771699203</v>
      </c>
    </row>
    <row r="35" spans="1:6" x14ac:dyDescent="0.2">
      <c r="A35" t="s">
        <v>265</v>
      </c>
      <c r="C35" s="18">
        <v>54908.484700000001</v>
      </c>
      <c r="D35">
        <v>2.0000000000000001E-4</v>
      </c>
      <c r="F35">
        <f>VLOOKUP(C35,Active!C$21:E$66,3,FALSE)</f>
        <v>6260.9994553341585</v>
      </c>
    </row>
    <row r="36" spans="1:6" x14ac:dyDescent="0.2">
      <c r="A36" t="s">
        <v>265</v>
      </c>
      <c r="C36" s="18">
        <v>54933.486599999997</v>
      </c>
      <c r="D36">
        <v>8.0000000000000004E-4</v>
      </c>
      <c r="F36">
        <f>VLOOKUP(C36,Active!C$21:E$66,3,FALSE)</f>
        <v>6326.000319779946</v>
      </c>
    </row>
    <row r="37" spans="1:6" x14ac:dyDescent="0.2">
      <c r="A37" t="s">
        <v>265</v>
      </c>
      <c r="C37" s="18">
        <v>54945.410499999998</v>
      </c>
      <c r="D37">
        <v>2.0000000000000001E-4</v>
      </c>
      <c r="F37">
        <f>VLOOKUP(C37,Active!C$21:E$66,3,FALSE)</f>
        <v>6357.0005160676428</v>
      </c>
    </row>
    <row r="38" spans="1:6" x14ac:dyDescent="0.2">
      <c r="A38" t="s">
        <v>266</v>
      </c>
      <c r="C38" s="18">
        <v>54965.7952</v>
      </c>
      <c r="D38">
        <v>5.9999999999999995E-4</v>
      </c>
      <c r="F38">
        <f>VLOOKUP(C38,Active!C$21:E$66,3,FALSE)</f>
        <v>6409.9974131622012</v>
      </c>
    </row>
    <row r="39" spans="1:6" x14ac:dyDescent="0.2">
      <c r="A39" t="s">
        <v>265</v>
      </c>
      <c r="C39" s="18">
        <v>54968.489000000001</v>
      </c>
      <c r="D39">
        <v>5.0000000000000001E-4</v>
      </c>
      <c r="F39">
        <f>VLOOKUP(C39,Active!C$21:E$66,3,FALSE)</f>
        <v>6417.0008540464605</v>
      </c>
    </row>
    <row r="40" spans="1:6" x14ac:dyDescent="0.2">
      <c r="A40" t="s">
        <v>267</v>
      </c>
      <c r="C40" s="18">
        <v>55015.408000000003</v>
      </c>
      <c r="D40">
        <v>4.0000000000000001E-3</v>
      </c>
      <c r="F40">
        <f>VLOOKUP(C40,Active!C$21:E$66,3,FALSE)</f>
        <v>6538.9826057906303</v>
      </c>
    </row>
    <row r="41" spans="1:6" x14ac:dyDescent="0.2">
      <c r="A41" t="s">
        <v>268</v>
      </c>
      <c r="C41" s="18">
        <v>55315.434800000003</v>
      </c>
      <c r="D41">
        <v>3.8999999999999998E-3</v>
      </c>
      <c r="F41">
        <f>VLOOKUP(C41,Active!C$21:E$66,3,FALSE)</f>
        <v>7319.0033784881816</v>
      </c>
    </row>
    <row r="42" spans="1:6" x14ac:dyDescent="0.2">
      <c r="A42" t="s">
        <v>249</v>
      </c>
      <c r="C42" s="18">
        <v>55339.667999999998</v>
      </c>
      <c r="D42" t="s">
        <v>247</v>
      </c>
      <c r="F42">
        <f>VLOOKUP(C42,Active!C$21:E$66,3,FALSE)</f>
        <v>7382.005748239585</v>
      </c>
    </row>
    <row r="43" spans="1:6" x14ac:dyDescent="0.2">
      <c r="A43" t="s">
        <v>269</v>
      </c>
      <c r="C43" s="18">
        <v>55398.512900000002</v>
      </c>
      <c r="D43">
        <v>1E-3</v>
      </c>
      <c r="F43">
        <f>VLOOKUP(C43,Active!C$21:E$66,3,FALSE)</f>
        <v>7534.9928959454337</v>
      </c>
    </row>
    <row r="44" spans="1:6" x14ac:dyDescent="0.2">
      <c r="A44" t="s">
        <v>250</v>
      </c>
      <c r="C44" s="18">
        <v>55643.918299999998</v>
      </c>
      <c r="D44">
        <v>6.9999999999999999E-4</v>
      </c>
      <c r="F44">
        <f>VLOOKUP(C44,Active!C$21:E$66,3,FALSE)</f>
        <v>8173.0069324653332</v>
      </c>
    </row>
    <row r="45" spans="1:6" x14ac:dyDescent="0.2">
      <c r="A45" t="s">
        <v>270</v>
      </c>
      <c r="C45" s="18">
        <v>55654.494200000001</v>
      </c>
      <c r="D45">
        <v>2.5000000000000001E-3</v>
      </c>
      <c r="F45">
        <f>VLOOKUP(C45,Active!C$21:E$66,3,FALSE)</f>
        <v>8200.502548490218</v>
      </c>
    </row>
    <row r="46" spans="1:6" x14ac:dyDescent="0.2">
      <c r="A46" t="s">
        <v>271</v>
      </c>
      <c r="C46" s="18">
        <v>55667.378400000001</v>
      </c>
      <c r="D46">
        <v>2.9999999999999997E-4</v>
      </c>
      <c r="F46">
        <f>VLOOKUP(C46,Active!C$21:E$66,3,FALSE)</f>
        <v>8233.9993682396198</v>
      </c>
    </row>
    <row r="47" spans="1:6" x14ac:dyDescent="0.2">
      <c r="A47" t="s">
        <v>250</v>
      </c>
      <c r="C47" s="18">
        <v>55697.760799999996</v>
      </c>
      <c r="D47">
        <v>8.0000000000000004E-4</v>
      </c>
      <c r="F47">
        <f>VLOOKUP(C47,Active!C$21:E$66,3,FALSE)</f>
        <v>8312.9886556112888</v>
      </c>
    </row>
    <row r="48" spans="1:6" x14ac:dyDescent="0.2">
      <c r="A48" t="s">
        <v>272</v>
      </c>
      <c r="C48" s="18">
        <v>56009.514900000002</v>
      </c>
      <c r="D48">
        <v>2.8E-3</v>
      </c>
      <c r="F48">
        <f>VLOOKUP(C48,Active!C$21:E$66,3,FALSE)</f>
        <v>9123.4984966442698</v>
      </c>
    </row>
    <row r="49" spans="1:6" x14ac:dyDescent="0.2">
      <c r="A49" t="s">
        <v>251</v>
      </c>
      <c r="C49" s="18">
        <v>56023.943099999997</v>
      </c>
      <c r="D49">
        <v>8.0000000000000004E-4</v>
      </c>
      <c r="F49">
        <f>VLOOKUP(C49,Active!C$21:E$66,3,FALSE)</f>
        <v>9161.0094647065598</v>
      </c>
    </row>
    <row r="50" spans="1:6" x14ac:dyDescent="0.2">
      <c r="A50" t="s">
        <v>251</v>
      </c>
      <c r="C50" s="18">
        <v>56089.713900000002</v>
      </c>
      <c r="D50">
        <v>4.0000000000000002E-4</v>
      </c>
      <c r="F50">
        <f>VLOOKUP(C50,Active!C$21:E$66,3,FALSE)</f>
        <v>9332.0028234229831</v>
      </c>
    </row>
    <row r="51" spans="1:6" x14ac:dyDescent="0.2">
      <c r="A51" t="s">
        <v>252</v>
      </c>
      <c r="C51" s="18">
        <v>57399.408100000001</v>
      </c>
      <c r="D51">
        <v>1.7000000000000001E-4</v>
      </c>
      <c r="F51">
        <f>VLOOKUP(C51,Active!C$21:E$66,3,FALSE)</f>
        <v>12736.994250460502</v>
      </c>
    </row>
    <row r="52" spans="1:6" x14ac:dyDescent="0.2">
      <c r="A52" t="s">
        <v>252</v>
      </c>
      <c r="C52" s="18">
        <v>57400.3701</v>
      </c>
      <c r="D52">
        <v>5.1000000000000004E-4</v>
      </c>
      <c r="F52">
        <f>VLOOKUP(C52,Active!C$21:E$66,3,FALSE)</f>
        <v>12739.495293645094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2024-01-15T04:29:52Z</dcterms:modified>
</cp:coreProperties>
</file>