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619C45B-2FB2-4980-BAC5-9C4590F938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45" i="2" l="1"/>
  <c r="F45" i="2" s="1"/>
  <c r="G45" i="2" s="1"/>
  <c r="K45" i="2" s="1"/>
  <c r="Q45" i="2"/>
  <c r="Q46" i="2"/>
  <c r="E46" i="2"/>
  <c r="F46" i="2"/>
  <c r="G46" i="2" s="1"/>
  <c r="K46" i="2" s="1"/>
  <c r="E43" i="2"/>
  <c r="F43" i="2" s="1"/>
  <c r="G43" i="2" s="1"/>
  <c r="K43" i="2" s="1"/>
  <c r="F30" i="2"/>
  <c r="G30" i="2" s="1"/>
  <c r="K30" i="2" s="1"/>
  <c r="E32" i="2"/>
  <c r="F32" i="2"/>
  <c r="G32" i="2" s="1"/>
  <c r="J32" i="2" s="1"/>
  <c r="E33" i="2"/>
  <c r="F33" i="2"/>
  <c r="G33" i="2" s="1"/>
  <c r="K33" i="2" s="1"/>
  <c r="E34" i="2"/>
  <c r="F34" i="2"/>
  <c r="G34" i="2" s="1"/>
  <c r="J34" i="2" s="1"/>
  <c r="E35" i="2"/>
  <c r="F35" i="2"/>
  <c r="G35" i="2" s="1"/>
  <c r="J35" i="2" s="1"/>
  <c r="E37" i="2"/>
  <c r="F37" i="2"/>
  <c r="G37" i="2" s="1"/>
  <c r="K37" i="2" s="1"/>
  <c r="E38" i="2"/>
  <c r="F38" i="2"/>
  <c r="G38" i="2" s="1"/>
  <c r="J38" i="2" s="1"/>
  <c r="E39" i="2"/>
  <c r="F39" i="2"/>
  <c r="G39" i="2" s="1"/>
  <c r="J39" i="2" s="1"/>
  <c r="E40" i="2"/>
  <c r="F40" i="2"/>
  <c r="G40" i="2" s="1"/>
  <c r="K40" i="2" s="1"/>
  <c r="E41" i="2"/>
  <c r="F41" i="2"/>
  <c r="G41" i="2" s="1"/>
  <c r="K41" i="2" s="1"/>
  <c r="E42" i="2"/>
  <c r="F42" i="2"/>
  <c r="G42" i="2" s="1"/>
  <c r="K42" i="2" s="1"/>
  <c r="E44" i="2"/>
  <c r="F44" i="2"/>
  <c r="G44" i="2" s="1"/>
  <c r="K44" i="2" s="1"/>
  <c r="E36" i="2"/>
  <c r="F36" i="2"/>
  <c r="U36" i="2" s="1"/>
  <c r="Q43" i="2"/>
  <c r="E21" i="2"/>
  <c r="F21" i="2"/>
  <c r="G21" i="2" s="1"/>
  <c r="J21" i="2" s="1"/>
  <c r="E23" i="2"/>
  <c r="F23" i="2"/>
  <c r="G23" i="2" s="1"/>
  <c r="J23" i="2" s="1"/>
  <c r="E24" i="2"/>
  <c r="F24" i="2"/>
  <c r="G24" i="2" s="1"/>
  <c r="K24" i="2" s="1"/>
  <c r="E25" i="2"/>
  <c r="F25" i="2" s="1"/>
  <c r="G25" i="2" s="1"/>
  <c r="K25" i="2" s="1"/>
  <c r="E26" i="2"/>
  <c r="E14" i="3" s="1"/>
  <c r="E27" i="2"/>
  <c r="F27" i="2" s="1"/>
  <c r="G27" i="2" s="1"/>
  <c r="J27" i="2" s="1"/>
  <c r="E28" i="2"/>
  <c r="F28" i="2" s="1"/>
  <c r="G28" i="2" s="1"/>
  <c r="J28" i="2" s="1"/>
  <c r="E30" i="2"/>
  <c r="E31" i="2"/>
  <c r="F31" i="2"/>
  <c r="G31" i="2" s="1"/>
  <c r="K31" i="2" s="1"/>
  <c r="E22" i="2"/>
  <c r="F22" i="2" s="1"/>
  <c r="E29" i="2"/>
  <c r="F29" i="2"/>
  <c r="Q44" i="2"/>
  <c r="Q42" i="2"/>
  <c r="C9" i="2"/>
  <c r="D9" i="2"/>
  <c r="Q32" i="2"/>
  <c r="Q36" i="2"/>
  <c r="Q40" i="2"/>
  <c r="Q41" i="2"/>
  <c r="G26" i="3"/>
  <c r="C26" i="3"/>
  <c r="E26" i="3"/>
  <c r="G25" i="3"/>
  <c r="C25" i="3"/>
  <c r="E25" i="3"/>
  <c r="G22" i="3"/>
  <c r="C22" i="3"/>
  <c r="E22" i="3"/>
  <c r="G21" i="3"/>
  <c r="C21" i="3"/>
  <c r="E21" i="3"/>
  <c r="G24" i="3"/>
  <c r="C24" i="3"/>
  <c r="E24" i="3"/>
  <c r="G20" i="3"/>
  <c r="C20" i="3"/>
  <c r="E20" i="3"/>
  <c r="G19" i="3"/>
  <c r="C19" i="3"/>
  <c r="E19" i="3"/>
  <c r="G23" i="3"/>
  <c r="C23" i="3"/>
  <c r="E23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G13" i="3"/>
  <c r="C13" i="3"/>
  <c r="E13" i="3"/>
  <c r="G12" i="3"/>
  <c r="C12" i="3"/>
  <c r="E12" i="3"/>
  <c r="G11" i="3"/>
  <c r="C11" i="3"/>
  <c r="E11" i="3"/>
  <c r="H26" i="3"/>
  <c r="D26" i="3"/>
  <c r="B26" i="3"/>
  <c r="A26" i="3"/>
  <c r="H25" i="3"/>
  <c r="B25" i="3"/>
  <c r="D25" i="3"/>
  <c r="A25" i="3"/>
  <c r="H22" i="3"/>
  <c r="D22" i="3"/>
  <c r="B22" i="3"/>
  <c r="A22" i="3"/>
  <c r="H21" i="3"/>
  <c r="B21" i="3"/>
  <c r="D21" i="3"/>
  <c r="A21" i="3"/>
  <c r="H24" i="3"/>
  <c r="D24" i="3"/>
  <c r="B24" i="3"/>
  <c r="A24" i="3"/>
  <c r="H20" i="3"/>
  <c r="B20" i="3"/>
  <c r="D20" i="3"/>
  <c r="A20" i="3"/>
  <c r="H19" i="3"/>
  <c r="D19" i="3"/>
  <c r="B19" i="3"/>
  <c r="A19" i="3"/>
  <c r="H23" i="3"/>
  <c r="B23" i="3"/>
  <c r="D23" i="3"/>
  <c r="A23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38" i="2"/>
  <c r="Q39" i="2"/>
  <c r="Q37" i="2"/>
  <c r="Q34" i="2"/>
  <c r="Q35" i="2"/>
  <c r="Q31" i="2"/>
  <c r="Q30" i="2"/>
  <c r="Q29" i="2"/>
  <c r="Q28" i="2"/>
  <c r="Q27" i="2"/>
  <c r="F16" i="2"/>
  <c r="C17" i="2"/>
  <c r="Q33" i="2"/>
  <c r="Q26" i="2"/>
  <c r="Q21" i="2"/>
  <c r="Q22" i="2"/>
  <c r="Q23" i="2"/>
  <c r="Q24" i="2"/>
  <c r="Q25" i="2"/>
  <c r="E25" i="1"/>
  <c r="F25" i="1"/>
  <c r="G25" i="1"/>
  <c r="J25" i="1"/>
  <c r="Q25" i="1"/>
  <c r="Q24" i="1"/>
  <c r="F24" i="1"/>
  <c r="G24" i="1"/>
  <c r="J24" i="1"/>
  <c r="E24" i="1"/>
  <c r="E21" i="1"/>
  <c r="F21" i="1"/>
  <c r="G21" i="1"/>
  <c r="I21" i="1"/>
  <c r="E22" i="1"/>
  <c r="F22" i="1"/>
  <c r="G22" i="1"/>
  <c r="E23" i="1"/>
  <c r="F23" i="1"/>
  <c r="G23" i="1"/>
  <c r="H23" i="1"/>
  <c r="Q21" i="1"/>
  <c r="Q22" i="1"/>
  <c r="C17" i="1"/>
  <c r="Q23" i="1"/>
  <c r="I22" i="1"/>
  <c r="C11" i="1"/>
  <c r="C12" i="1"/>
  <c r="C16" i="1"/>
  <c r="D18" i="1"/>
  <c r="O22" i="1"/>
  <c r="O25" i="1"/>
  <c r="C15" i="1"/>
  <c r="C18" i="1"/>
  <c r="O23" i="1"/>
  <c r="O21" i="1"/>
  <c r="O24" i="1"/>
  <c r="F26" i="2" l="1"/>
  <c r="G26" i="2" s="1"/>
  <c r="F17" i="2"/>
  <c r="C12" i="2"/>
  <c r="C11" i="2"/>
  <c r="O42" i="2" l="1"/>
  <c r="O39" i="2"/>
  <c r="O40" i="2"/>
  <c r="O45" i="2"/>
  <c r="C15" i="2"/>
  <c r="C18" i="2" s="1"/>
  <c r="O43" i="2"/>
  <c r="O32" i="2"/>
  <c r="O29" i="2"/>
  <c r="O21" i="2"/>
  <c r="O25" i="2"/>
  <c r="O46" i="2"/>
  <c r="O38" i="2"/>
  <c r="O28" i="2"/>
  <c r="O36" i="2"/>
  <c r="O22" i="2"/>
  <c r="O35" i="2"/>
  <c r="O41" i="2"/>
  <c r="O23" i="2"/>
  <c r="O44" i="2"/>
  <c r="O31" i="2"/>
  <c r="O37" i="2"/>
  <c r="O33" i="2"/>
  <c r="O30" i="2"/>
  <c r="O27" i="2"/>
  <c r="O26" i="2"/>
  <c r="O24" i="2"/>
  <c r="O34" i="2"/>
  <c r="C16" i="2"/>
  <c r="D18" i="2" s="1"/>
  <c r="J26" i="2"/>
  <c r="F18" i="2" l="1"/>
  <c r="F19" i="2" s="1"/>
</calcChain>
</file>

<file path=xl/sharedStrings.xml><?xml version="1.0" encoding="utf-8"?>
<sst xmlns="http://schemas.openxmlformats.org/spreadsheetml/2006/main" count="292" uniqueCount="166">
  <si>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</si>
  <si>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</si>
  <si>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</si>
  <si>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</si>
  <si>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</si>
  <si>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</si>
  <si>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</si>
  <si>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</si>
  <si>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</si>
  <si>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</si>
  <si>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</si>
  <si>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</si>
  <si>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</si>
  <si>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</si>
  <si>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</si>
  <si>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</si>
  <si>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</si>
  <si>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</si>
  <si>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</si>
  <si>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</si>
  <si>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</si>
  <si>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</si>
  <si>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</si>
  <si>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</si>
  <si>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</si>
  <si>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</si>
  <si>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</si>
  <si>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</si>
  <si>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</si>
  <si>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</si>
  <si>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</si>
  <si>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</si>
  <si>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</si>
  <si>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</si>
  <si>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IBVS 5731</t>
  </si>
  <si>
    <t>GT Boo / GSC 03045-00520</t>
  </si>
  <si>
    <t>ROTSE1 J151726.64+381336.3</t>
  </si>
  <si>
    <t>IBVS 5060</t>
  </si>
  <si>
    <t>I</t>
  </si>
  <si>
    <t>II</t>
  </si>
  <si>
    <t>EB</t>
  </si>
  <si>
    <t>RHN 2007</t>
  </si>
  <si>
    <t>Nelson</t>
  </si>
  <si>
    <t>RHN 2008</t>
  </si>
  <si>
    <t>IBVS 5820</t>
  </si>
  <si>
    <t>IBVS 5875</t>
  </si>
  <si>
    <t>IBVS 5874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</si>
  <si>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</si>
  <si>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</si>
  <si>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</si>
  <si>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</si>
  <si>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</si>
  <si>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</si>
  <si>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</si>
  <si>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</si>
  <si>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5959</t>
  </si>
  <si>
    <t>OEJV 0160</t>
  </si>
  <si>
    <t>IBVS 6050</t>
  </si>
  <si>
    <t>IBVS 6048</t>
  </si>
  <si>
    <t>IBVS 6118</t>
  </si>
  <si>
    <t>IBVS 6149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</si>
  <si>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</si>
  <si>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</si>
  <si>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</si>
  <si>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</si>
  <si>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</si>
  <si>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</si>
  <si>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</si>
  <si>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</si>
  <si>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</si>
  <si>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</si>
  <si>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</si>
  <si>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</si>
  <si>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2453862.5191 </t>
  </si>
  <si>
    <t> 07.05.2006 00:27 </t>
  </si>
  <si>
    <t> 0.0005 </t>
  </si>
  <si>
    <t>C </t>
  </si>
  <si>
    <t>-I</t>
  </si>
  <si>
    <t> F.Agerer </t>
  </si>
  <si>
    <t>BAVM 178 </t>
  </si>
  <si>
    <t>2454209.8456 </t>
  </si>
  <si>
    <t> 19.04.2007 08:17 </t>
  </si>
  <si>
    <t>3004.5</t>
  </si>
  <si>
    <t> -0.0004 </t>
  </si>
  <si>
    <t>R</t>
  </si>
  <si>
    <t> R.Nelson </t>
  </si>
  <si>
    <t>IBVS 5820 </t>
  </si>
  <si>
    <t>2454515.9263 </t>
  </si>
  <si>
    <t> 19.02.2008 10:13 </t>
  </si>
  <si>
    <t>3542.5</t>
  </si>
  <si>
    <t> -0.0002 </t>
  </si>
  <si>
    <t>IBVS 5875 </t>
  </si>
  <si>
    <t>2454596.4277 </t>
  </si>
  <si>
    <t> 09.05.2008 22:15 </t>
  </si>
  <si>
    <t>3684</t>
  </si>
  <si>
    <t> -0.0014 </t>
  </si>
  <si>
    <t>BAVM 201 </t>
  </si>
  <si>
    <t>2455314.4104 </t>
  </si>
  <si>
    <t> 27.04.2010 21:50 </t>
  </si>
  <si>
    <t>4946</t>
  </si>
  <si>
    <t> 0.0006 </t>
  </si>
  <si>
    <t>BAVM 214 </t>
  </si>
  <si>
    <t>2455316.4070 </t>
  </si>
  <si>
    <t> 29.04.2010 21:46 </t>
  </si>
  <si>
    <t>4949.5</t>
  </si>
  <si>
    <t> 0.0060 </t>
  </si>
  <si>
    <t>2455619.63451 </t>
  </si>
  <si>
    <t> 27.02.2011 03:13 </t>
  </si>
  <si>
    <t>5482.5</t>
  </si>
  <si>
    <t> -0.00237 </t>
  </si>
  <si>
    <t> M.Lehky </t>
  </si>
  <si>
    <t>OEJV 0160 </t>
  </si>
  <si>
    <t>2455649.50407 </t>
  </si>
  <si>
    <t> 29.03.2011 00:05 </t>
  </si>
  <si>
    <t>5535</t>
  </si>
  <si>
    <t> -0.00126 </t>
  </si>
  <si>
    <t>2455937.94459 </t>
  </si>
  <si>
    <t> 11.01.2012 10:40 </t>
  </si>
  <si>
    <t>6042</t>
  </si>
  <si>
    <t> -0.00463 </t>
  </si>
  <si>
    <t>IBVS 6050 </t>
  </si>
  <si>
    <t>2455943.6359 </t>
  </si>
  <si>
    <t> 17.01.2012 03:15 </t>
  </si>
  <si>
    <t>6052</t>
  </si>
  <si>
    <t> -0.0025 </t>
  </si>
  <si>
    <t>o</t>
  </si>
  <si>
    <t> W.Moschner &amp; P.Frank </t>
  </si>
  <si>
    <t>BAVM 234 </t>
  </si>
  <si>
    <t>2456012.4765 </t>
  </si>
  <si>
    <t> 25.03.2012 23:26 </t>
  </si>
  <si>
    <t>6173</t>
  </si>
  <si>
    <t> -0.0016 </t>
  </si>
  <si>
    <t>BAVM 228 </t>
  </si>
  <si>
    <t>2456374.867 </t>
  </si>
  <si>
    <t> 23.03.2013 08:48 </t>
  </si>
  <si>
    <t>6810</t>
  </si>
  <si>
    <t> -0.015 </t>
  </si>
  <si>
    <t> A.Paschke </t>
  </si>
  <si>
    <t>OEJV 0162 </t>
  </si>
  <si>
    <t>2456746.3877 </t>
  </si>
  <si>
    <t> 29.03.2014 21:18 </t>
  </si>
  <si>
    <t>7463</t>
  </si>
  <si>
    <t> -0.0009 </t>
  </si>
  <si>
    <t>BAVM 238 </t>
  </si>
  <si>
    <t>2456798.4429 </t>
  </si>
  <si>
    <t> 20.05.2014 22:37 </t>
  </si>
  <si>
    <t>7554.5</t>
  </si>
  <si>
    <t> -0.0021 </t>
  </si>
  <si>
    <t>2457106.5123 </t>
  </si>
  <si>
    <t> 25.03.2015 00:17 </t>
  </si>
  <si>
    <t>8096</t>
  </si>
  <si>
    <t> -0.0045 </t>
  </si>
  <si>
    <t>BAVM 241 (=IBVS 6157) </t>
  </si>
  <si>
    <t>2457130.4088 </t>
  </si>
  <si>
    <t> 17.04.2015 21:48 </t>
  </si>
  <si>
    <t>8138</t>
  </si>
  <si>
    <t> -0.0027 </t>
  </si>
  <si>
    <t>s5</t>
  </si>
  <si>
    <t>s6</t>
  </si>
  <si>
    <t>s7</t>
  </si>
  <si>
    <t>BAD?</t>
  </si>
  <si>
    <t>IBVS 6157</t>
  </si>
  <si>
    <t>OEJV 0179</t>
  </si>
  <si>
    <t>IBVS 6261</t>
  </si>
  <si>
    <t>RHN 2020</t>
  </si>
  <si>
    <t>IBVS, 63,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</si>
</sst>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u/>
      <sz val="1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9" fillId="0" borderId="0"/>
    <xf numFmtId="0" fontId="2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0" xfId="38" applyAlignment="1" applyProtection="1"/>
    <xf numFmtId="0" fontId="5" fillId="0" borderId="13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13" xfId="0" applyBorder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0" xfId="0" applyFont="1">
      <alignment vertical="top"/>
    </xf>
    <xf numFmtId="0" fontId="18" fillId="0" borderId="0" xfId="0" applyFont="1" applyAlignment="1"/>
    <xf numFmtId="0" fontId="17" fillId="0" borderId="0" xfId="0" applyFont="1" applyAlignment="1"/>
    <xf numFmtId="0" fontId="19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2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12" fillId="24" borderId="20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/>
    <xf numFmtId="0" fontId="19" fillId="0" borderId="0" xfId="0" applyFont="1" applyAlignment="1"/>
    <xf numFmtId="0" fontId="23" fillId="0" borderId="10" xfId="0" applyFont="1" applyBorder="1" applyAlignment="1">
      <alignment horizontal="center"/>
    </xf>
    <xf numFmtId="0" fontId="39" fillId="0" borderId="0" xfId="42" applyFont="1"/>
    <xf numFmtId="0" fontId="4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3" fillId="0" borderId="0" xfId="0" applyFont="1" applyAlignment="1"/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Boo - O-C Diagr.</a:t>
            </a:r>
          </a:p>
        </c:rich>
      </c:tx>
      <c:layout>
        <c:manualLayout>
          <c:xMode val="edge"/>
          <c:yMode val="edge"/>
          <c:x val="0.3863301782670925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909201387503"/>
          <c:y val="0.14678942920199375"/>
          <c:w val="0.8142650781431949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-5786</c:v>
                </c:pt>
                <c:pt idx="1">
                  <c:v>-5675.5</c:v>
                </c:pt>
                <c:pt idx="2">
                  <c:v>-1148</c:v>
                </c:pt>
                <c:pt idx="3">
                  <c:v>-537.5</c:v>
                </c:pt>
                <c:pt idx="4">
                  <c:v>0.5</c:v>
                </c:pt>
                <c:pt idx="5">
                  <c:v>142</c:v>
                </c:pt>
                <c:pt idx="6">
                  <c:v>142</c:v>
                </c:pt>
                <c:pt idx="7">
                  <c:v>1404</c:v>
                </c:pt>
                <c:pt idx="8">
                  <c:v>1407.5</c:v>
                </c:pt>
                <c:pt idx="9">
                  <c:v>1940.5</c:v>
                </c:pt>
                <c:pt idx="10">
                  <c:v>1993</c:v>
                </c:pt>
                <c:pt idx="11">
                  <c:v>2500</c:v>
                </c:pt>
                <c:pt idx="12">
                  <c:v>2500</c:v>
                </c:pt>
                <c:pt idx="13">
                  <c:v>2510</c:v>
                </c:pt>
                <c:pt idx="14">
                  <c:v>2631</c:v>
                </c:pt>
                <c:pt idx="15">
                  <c:v>3268</c:v>
                </c:pt>
                <c:pt idx="16">
                  <c:v>3889.5</c:v>
                </c:pt>
                <c:pt idx="17">
                  <c:v>3921</c:v>
                </c:pt>
                <c:pt idx="18">
                  <c:v>4012.5</c:v>
                </c:pt>
                <c:pt idx="19">
                  <c:v>4554</c:v>
                </c:pt>
                <c:pt idx="20">
                  <c:v>4596</c:v>
                </c:pt>
                <c:pt idx="21">
                  <c:v>4603</c:v>
                </c:pt>
                <c:pt idx="22">
                  <c:v>5844</c:v>
                </c:pt>
                <c:pt idx="23">
                  <c:v>6560</c:v>
                </c:pt>
                <c:pt idx="24">
                  <c:v>6560</c:v>
                </c:pt>
                <c:pt idx="25">
                  <c:v>7736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E1-443F-8FEE-3CE9D273FA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8.5000000000000006E-3</c:v>
                  </c:pt>
                  <c:pt idx="8">
                    <c:v>6.0000000000000001E-3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9.4000000000000004E-3</c:v>
                  </c:pt>
                  <c:pt idx="18">
                    <c:v>4.1000000000000003E-3</c:v>
                  </c:pt>
                  <c:pt idx="19">
                    <c:v>8.2000000000000007E-3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3.2000000000000002E-3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8.5000000000000006E-3</c:v>
                  </c:pt>
                  <c:pt idx="8">
                    <c:v>6.0000000000000001E-3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9.4000000000000004E-3</c:v>
                  </c:pt>
                  <c:pt idx="18">
                    <c:v>4.1000000000000003E-3</c:v>
                  </c:pt>
                  <c:pt idx="19">
                    <c:v>8.2000000000000007E-3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3.2000000000000002E-3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-5786</c:v>
                </c:pt>
                <c:pt idx="1">
                  <c:v>-5675.5</c:v>
                </c:pt>
                <c:pt idx="2">
                  <c:v>-1148</c:v>
                </c:pt>
                <c:pt idx="3">
                  <c:v>-537.5</c:v>
                </c:pt>
                <c:pt idx="4">
                  <c:v>0.5</c:v>
                </c:pt>
                <c:pt idx="5">
                  <c:v>142</c:v>
                </c:pt>
                <c:pt idx="6">
                  <c:v>142</c:v>
                </c:pt>
                <c:pt idx="7">
                  <c:v>1404</c:v>
                </c:pt>
                <c:pt idx="8">
                  <c:v>1407.5</c:v>
                </c:pt>
                <c:pt idx="9">
                  <c:v>1940.5</c:v>
                </c:pt>
                <c:pt idx="10">
                  <c:v>1993</c:v>
                </c:pt>
                <c:pt idx="11">
                  <c:v>2500</c:v>
                </c:pt>
                <c:pt idx="12">
                  <c:v>2500</c:v>
                </c:pt>
                <c:pt idx="13">
                  <c:v>2510</c:v>
                </c:pt>
                <c:pt idx="14">
                  <c:v>2631</c:v>
                </c:pt>
                <c:pt idx="15">
                  <c:v>3268</c:v>
                </c:pt>
                <c:pt idx="16">
                  <c:v>3889.5</c:v>
                </c:pt>
                <c:pt idx="17">
                  <c:v>3921</c:v>
                </c:pt>
                <c:pt idx="18">
                  <c:v>4012.5</c:v>
                </c:pt>
                <c:pt idx="19">
                  <c:v>4554</c:v>
                </c:pt>
                <c:pt idx="20">
                  <c:v>4596</c:v>
                </c:pt>
                <c:pt idx="21">
                  <c:v>4603</c:v>
                </c:pt>
                <c:pt idx="22">
                  <c:v>5844</c:v>
                </c:pt>
                <c:pt idx="23">
                  <c:v>6560</c:v>
                </c:pt>
                <c:pt idx="24">
                  <c:v>6560</c:v>
                </c:pt>
                <c:pt idx="25">
                  <c:v>7736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E1-443F-8FEE-3CE9D273FA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8.5000000000000006E-3</c:v>
                  </c:pt>
                  <c:pt idx="8">
                    <c:v>6.0000000000000001E-3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9.4000000000000004E-3</c:v>
                  </c:pt>
                  <c:pt idx="18">
                    <c:v>4.1000000000000003E-3</c:v>
                  </c:pt>
                  <c:pt idx="19">
                    <c:v>8.2000000000000007E-3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3.2000000000000002E-3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8.5000000000000006E-3</c:v>
                  </c:pt>
                  <c:pt idx="8">
                    <c:v>6.0000000000000001E-3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9.4000000000000004E-3</c:v>
                  </c:pt>
                  <c:pt idx="18">
                    <c:v>4.1000000000000003E-3</c:v>
                  </c:pt>
                  <c:pt idx="19">
                    <c:v>8.2000000000000007E-3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3.2000000000000002E-3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-5786</c:v>
                </c:pt>
                <c:pt idx="1">
                  <c:v>-5675.5</c:v>
                </c:pt>
                <c:pt idx="2">
                  <c:v>-1148</c:v>
                </c:pt>
                <c:pt idx="3">
                  <c:v>-537.5</c:v>
                </c:pt>
                <c:pt idx="4">
                  <c:v>0.5</c:v>
                </c:pt>
                <c:pt idx="5">
                  <c:v>142</c:v>
                </c:pt>
                <c:pt idx="6">
                  <c:v>142</c:v>
                </c:pt>
                <c:pt idx="7">
                  <c:v>1404</c:v>
                </c:pt>
                <c:pt idx="8">
                  <c:v>1407.5</c:v>
                </c:pt>
                <c:pt idx="9">
                  <c:v>1940.5</c:v>
                </c:pt>
                <c:pt idx="10">
                  <c:v>1993</c:v>
                </c:pt>
                <c:pt idx="11">
                  <c:v>2500</c:v>
                </c:pt>
                <c:pt idx="12">
                  <c:v>2500</c:v>
                </c:pt>
                <c:pt idx="13">
                  <c:v>2510</c:v>
                </c:pt>
                <c:pt idx="14">
                  <c:v>2631</c:v>
                </c:pt>
                <c:pt idx="15">
                  <c:v>3268</c:v>
                </c:pt>
                <c:pt idx="16">
                  <c:v>3889.5</c:v>
                </c:pt>
                <c:pt idx="17">
                  <c:v>3921</c:v>
                </c:pt>
                <c:pt idx="18">
                  <c:v>4012.5</c:v>
                </c:pt>
                <c:pt idx="19">
                  <c:v>4554</c:v>
                </c:pt>
                <c:pt idx="20">
                  <c:v>4596</c:v>
                </c:pt>
                <c:pt idx="21">
                  <c:v>4603</c:v>
                </c:pt>
                <c:pt idx="22">
                  <c:v>5844</c:v>
                </c:pt>
                <c:pt idx="23">
                  <c:v>6560</c:v>
                </c:pt>
                <c:pt idx="24">
                  <c:v>6560</c:v>
                </c:pt>
                <c:pt idx="25">
                  <c:v>7736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3.1134973251027986E-3</c:v>
                </c:pt>
                <c:pt idx="2">
                  <c:v>5.8685539261205122E-4</c:v>
                </c:pt>
                <c:pt idx="5">
                  <c:v>-1.3030902919126675E-3</c:v>
                </c:pt>
                <c:pt idx="6">
                  <c:v>-1.3030902919126675E-3</c:v>
                </c:pt>
                <c:pt idx="7">
                  <c:v>7.4705587030621246E-4</c:v>
                </c:pt>
                <c:pt idx="11">
                  <c:v>-4.5179677545093E-3</c:v>
                </c:pt>
                <c:pt idx="13">
                  <c:v>-2.4365719800698571E-3</c:v>
                </c:pt>
                <c:pt idx="14">
                  <c:v>-1.5026831679278985E-3</c:v>
                </c:pt>
                <c:pt idx="17">
                  <c:v>-7.9262885265052319E-4</c:v>
                </c:pt>
                <c:pt idx="18">
                  <c:v>-2.0343575597507879E-3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E1-443F-8FEE-3CE9D273FA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8.5000000000000006E-3</c:v>
                  </c:pt>
                  <c:pt idx="8">
                    <c:v>6.0000000000000001E-3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9.4000000000000004E-3</c:v>
                  </c:pt>
                  <c:pt idx="18">
                    <c:v>4.1000000000000003E-3</c:v>
                  </c:pt>
                  <c:pt idx="19">
                    <c:v>8.2000000000000007E-3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3.2000000000000002E-3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8.5000000000000006E-3</c:v>
                  </c:pt>
                  <c:pt idx="8">
                    <c:v>6.0000000000000001E-3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9.4000000000000004E-3</c:v>
                  </c:pt>
                  <c:pt idx="18">
                    <c:v>4.1000000000000003E-3</c:v>
                  </c:pt>
                  <c:pt idx="19">
                    <c:v>8.2000000000000007E-3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3.2000000000000002E-3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-5786</c:v>
                </c:pt>
                <c:pt idx="1">
                  <c:v>-5675.5</c:v>
                </c:pt>
                <c:pt idx="2">
                  <c:v>-1148</c:v>
                </c:pt>
                <c:pt idx="3">
                  <c:v>-537.5</c:v>
                </c:pt>
                <c:pt idx="4">
                  <c:v>0.5</c:v>
                </c:pt>
                <c:pt idx="5">
                  <c:v>142</c:v>
                </c:pt>
                <c:pt idx="6">
                  <c:v>142</c:v>
                </c:pt>
                <c:pt idx="7">
                  <c:v>1404</c:v>
                </c:pt>
                <c:pt idx="8">
                  <c:v>1407.5</c:v>
                </c:pt>
                <c:pt idx="9">
                  <c:v>1940.5</c:v>
                </c:pt>
                <c:pt idx="10">
                  <c:v>1993</c:v>
                </c:pt>
                <c:pt idx="11">
                  <c:v>2500</c:v>
                </c:pt>
                <c:pt idx="12">
                  <c:v>2500</c:v>
                </c:pt>
                <c:pt idx="13">
                  <c:v>2510</c:v>
                </c:pt>
                <c:pt idx="14">
                  <c:v>2631</c:v>
                </c:pt>
                <c:pt idx="15">
                  <c:v>3268</c:v>
                </c:pt>
                <c:pt idx="16">
                  <c:v>3889.5</c:v>
                </c:pt>
                <c:pt idx="17">
                  <c:v>3921</c:v>
                </c:pt>
                <c:pt idx="18">
                  <c:v>4012.5</c:v>
                </c:pt>
                <c:pt idx="19">
                  <c:v>4554</c:v>
                </c:pt>
                <c:pt idx="20">
                  <c:v>4596</c:v>
                </c:pt>
                <c:pt idx="21">
                  <c:v>4603</c:v>
                </c:pt>
                <c:pt idx="22">
                  <c:v>5844</c:v>
                </c:pt>
                <c:pt idx="23">
                  <c:v>6560</c:v>
                </c:pt>
                <c:pt idx="24">
                  <c:v>6560</c:v>
                </c:pt>
                <c:pt idx="25">
                  <c:v>7736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-3.194328528479673E-4</c:v>
                </c:pt>
                <c:pt idx="4">
                  <c:v>-1.1834043107228354E-4</c:v>
                </c:pt>
                <c:pt idx="9">
                  <c:v>-2.257561071019154E-3</c:v>
                </c:pt>
                <c:pt idx="10">
                  <c:v>-1.1477332809590735E-3</c:v>
                </c:pt>
                <c:pt idx="12">
                  <c:v>-4.5136234039091505E-3</c:v>
                </c:pt>
                <c:pt idx="16">
                  <c:v>-1.6125255278893746E-3</c:v>
                </c:pt>
                <c:pt idx="19">
                  <c:v>-4.3632766173686832E-3</c:v>
                </c:pt>
                <c:pt idx="20">
                  <c:v>-2.6234143879264593E-3</c:v>
                </c:pt>
                <c:pt idx="21">
                  <c:v>-2.5734373484738171E-3</c:v>
                </c:pt>
                <c:pt idx="22">
                  <c:v>-5.3222305723465979E-5</c:v>
                </c:pt>
                <c:pt idx="23">
                  <c:v>-3.7212851821095683E-3</c:v>
                </c:pt>
                <c:pt idx="24">
                  <c:v>-3.7212851821095683E-3</c:v>
                </c:pt>
                <c:pt idx="25">
                  <c:v>-4.2051426498801447E-3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E1-443F-8FEE-3CE9D273FA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8.5000000000000006E-3</c:v>
                  </c:pt>
                  <c:pt idx="8">
                    <c:v>6.0000000000000001E-3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9.4000000000000004E-3</c:v>
                  </c:pt>
                  <c:pt idx="18">
                    <c:v>4.1000000000000003E-3</c:v>
                  </c:pt>
                  <c:pt idx="19">
                    <c:v>8.2000000000000007E-3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3.2000000000000002E-3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8.5000000000000006E-3</c:v>
                  </c:pt>
                  <c:pt idx="8">
                    <c:v>6.0000000000000001E-3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9.4000000000000004E-3</c:v>
                  </c:pt>
                  <c:pt idx="18">
                    <c:v>4.1000000000000003E-3</c:v>
                  </c:pt>
                  <c:pt idx="19">
                    <c:v>8.2000000000000007E-3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3.2000000000000002E-3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-5786</c:v>
                </c:pt>
                <c:pt idx="1">
                  <c:v>-5675.5</c:v>
                </c:pt>
                <c:pt idx="2">
                  <c:v>-1148</c:v>
                </c:pt>
                <c:pt idx="3">
                  <c:v>-537.5</c:v>
                </c:pt>
                <c:pt idx="4">
                  <c:v>0.5</c:v>
                </c:pt>
                <c:pt idx="5">
                  <c:v>142</c:v>
                </c:pt>
                <c:pt idx="6">
                  <c:v>142</c:v>
                </c:pt>
                <c:pt idx="7">
                  <c:v>1404</c:v>
                </c:pt>
                <c:pt idx="8">
                  <c:v>1407.5</c:v>
                </c:pt>
                <c:pt idx="9">
                  <c:v>1940.5</c:v>
                </c:pt>
                <c:pt idx="10">
                  <c:v>1993</c:v>
                </c:pt>
                <c:pt idx="11">
                  <c:v>2500</c:v>
                </c:pt>
                <c:pt idx="12">
                  <c:v>2500</c:v>
                </c:pt>
                <c:pt idx="13">
                  <c:v>2510</c:v>
                </c:pt>
                <c:pt idx="14">
                  <c:v>2631</c:v>
                </c:pt>
                <c:pt idx="15">
                  <c:v>3268</c:v>
                </c:pt>
                <c:pt idx="16">
                  <c:v>3889.5</c:v>
                </c:pt>
                <c:pt idx="17">
                  <c:v>3921</c:v>
                </c:pt>
                <c:pt idx="18">
                  <c:v>4012.5</c:v>
                </c:pt>
                <c:pt idx="19">
                  <c:v>4554</c:v>
                </c:pt>
                <c:pt idx="20">
                  <c:v>4596</c:v>
                </c:pt>
                <c:pt idx="21">
                  <c:v>4603</c:v>
                </c:pt>
                <c:pt idx="22">
                  <c:v>5844</c:v>
                </c:pt>
                <c:pt idx="23">
                  <c:v>6560</c:v>
                </c:pt>
                <c:pt idx="24">
                  <c:v>6560</c:v>
                </c:pt>
                <c:pt idx="25">
                  <c:v>7736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E1-443F-8FEE-3CE9D273FA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8.5000000000000006E-3</c:v>
                  </c:pt>
                  <c:pt idx="8">
                    <c:v>6.0000000000000001E-3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9.4000000000000004E-3</c:v>
                  </c:pt>
                  <c:pt idx="18">
                    <c:v>4.1000000000000003E-3</c:v>
                  </c:pt>
                  <c:pt idx="19">
                    <c:v>8.2000000000000007E-3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3.2000000000000002E-3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8.5000000000000006E-3</c:v>
                  </c:pt>
                  <c:pt idx="8">
                    <c:v>6.0000000000000001E-3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9.4000000000000004E-3</c:v>
                  </c:pt>
                  <c:pt idx="18">
                    <c:v>4.1000000000000003E-3</c:v>
                  </c:pt>
                  <c:pt idx="19">
                    <c:v>8.2000000000000007E-3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3.2000000000000002E-3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-5786</c:v>
                </c:pt>
                <c:pt idx="1">
                  <c:v>-5675.5</c:v>
                </c:pt>
                <c:pt idx="2">
                  <c:v>-1148</c:v>
                </c:pt>
                <c:pt idx="3">
                  <c:v>-537.5</c:v>
                </c:pt>
                <c:pt idx="4">
                  <c:v>0.5</c:v>
                </c:pt>
                <c:pt idx="5">
                  <c:v>142</c:v>
                </c:pt>
                <c:pt idx="6">
                  <c:v>142</c:v>
                </c:pt>
                <c:pt idx="7">
                  <c:v>1404</c:v>
                </c:pt>
                <c:pt idx="8">
                  <c:v>1407.5</c:v>
                </c:pt>
                <c:pt idx="9">
                  <c:v>1940.5</c:v>
                </c:pt>
                <c:pt idx="10">
                  <c:v>1993</c:v>
                </c:pt>
                <c:pt idx="11">
                  <c:v>2500</c:v>
                </c:pt>
                <c:pt idx="12">
                  <c:v>2500</c:v>
                </c:pt>
                <c:pt idx="13">
                  <c:v>2510</c:v>
                </c:pt>
                <c:pt idx="14">
                  <c:v>2631</c:v>
                </c:pt>
                <c:pt idx="15">
                  <c:v>3268</c:v>
                </c:pt>
                <c:pt idx="16">
                  <c:v>3889.5</c:v>
                </c:pt>
                <c:pt idx="17">
                  <c:v>3921</c:v>
                </c:pt>
                <c:pt idx="18">
                  <c:v>4012.5</c:v>
                </c:pt>
                <c:pt idx="19">
                  <c:v>4554</c:v>
                </c:pt>
                <c:pt idx="20">
                  <c:v>4596</c:v>
                </c:pt>
                <c:pt idx="21">
                  <c:v>4603</c:v>
                </c:pt>
                <c:pt idx="22">
                  <c:v>5844</c:v>
                </c:pt>
                <c:pt idx="23">
                  <c:v>6560</c:v>
                </c:pt>
                <c:pt idx="24">
                  <c:v>6560</c:v>
                </c:pt>
                <c:pt idx="25">
                  <c:v>7736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E1-443F-8FEE-3CE9D273FA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8.5000000000000006E-3</c:v>
                  </c:pt>
                  <c:pt idx="8">
                    <c:v>6.0000000000000001E-3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9.4000000000000004E-3</c:v>
                  </c:pt>
                  <c:pt idx="18">
                    <c:v>4.1000000000000003E-3</c:v>
                  </c:pt>
                  <c:pt idx="19">
                    <c:v>8.2000000000000007E-3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3.2000000000000002E-3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8.5000000000000006E-3</c:v>
                  </c:pt>
                  <c:pt idx="8">
                    <c:v>6.0000000000000001E-3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9.4000000000000004E-3</c:v>
                  </c:pt>
                  <c:pt idx="18">
                    <c:v>4.1000000000000003E-3</c:v>
                  </c:pt>
                  <c:pt idx="19">
                    <c:v>8.2000000000000007E-3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3.2000000000000002E-3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-5786</c:v>
                </c:pt>
                <c:pt idx="1">
                  <c:v>-5675.5</c:v>
                </c:pt>
                <c:pt idx="2">
                  <c:v>-1148</c:v>
                </c:pt>
                <c:pt idx="3">
                  <c:v>-537.5</c:v>
                </c:pt>
                <c:pt idx="4">
                  <c:v>0.5</c:v>
                </c:pt>
                <c:pt idx="5">
                  <c:v>142</c:v>
                </c:pt>
                <c:pt idx="6">
                  <c:v>142</c:v>
                </c:pt>
                <c:pt idx="7">
                  <c:v>1404</c:v>
                </c:pt>
                <c:pt idx="8">
                  <c:v>1407.5</c:v>
                </c:pt>
                <c:pt idx="9">
                  <c:v>1940.5</c:v>
                </c:pt>
                <c:pt idx="10">
                  <c:v>1993</c:v>
                </c:pt>
                <c:pt idx="11">
                  <c:v>2500</c:v>
                </c:pt>
                <c:pt idx="12">
                  <c:v>2500</c:v>
                </c:pt>
                <c:pt idx="13">
                  <c:v>2510</c:v>
                </c:pt>
                <c:pt idx="14">
                  <c:v>2631</c:v>
                </c:pt>
                <c:pt idx="15">
                  <c:v>3268</c:v>
                </c:pt>
                <c:pt idx="16">
                  <c:v>3889.5</c:v>
                </c:pt>
                <c:pt idx="17">
                  <c:v>3921</c:v>
                </c:pt>
                <c:pt idx="18">
                  <c:v>4012.5</c:v>
                </c:pt>
                <c:pt idx="19">
                  <c:v>4554</c:v>
                </c:pt>
                <c:pt idx="20">
                  <c:v>4596</c:v>
                </c:pt>
                <c:pt idx="21">
                  <c:v>4603</c:v>
                </c:pt>
                <c:pt idx="22">
                  <c:v>5844</c:v>
                </c:pt>
                <c:pt idx="23">
                  <c:v>6560</c:v>
                </c:pt>
                <c:pt idx="24">
                  <c:v>6560</c:v>
                </c:pt>
                <c:pt idx="25">
                  <c:v>7736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E1-443F-8FEE-3CE9D273FA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-5786</c:v>
                </c:pt>
                <c:pt idx="1">
                  <c:v>-5675.5</c:v>
                </c:pt>
                <c:pt idx="2">
                  <c:v>-1148</c:v>
                </c:pt>
                <c:pt idx="3">
                  <c:v>-537.5</c:v>
                </c:pt>
                <c:pt idx="4">
                  <c:v>0.5</c:v>
                </c:pt>
                <c:pt idx="5">
                  <c:v>142</c:v>
                </c:pt>
                <c:pt idx="6">
                  <c:v>142</c:v>
                </c:pt>
                <c:pt idx="7">
                  <c:v>1404</c:v>
                </c:pt>
                <c:pt idx="8">
                  <c:v>1407.5</c:v>
                </c:pt>
                <c:pt idx="9">
                  <c:v>1940.5</c:v>
                </c:pt>
                <c:pt idx="10">
                  <c:v>1993</c:v>
                </c:pt>
                <c:pt idx="11">
                  <c:v>2500</c:v>
                </c:pt>
                <c:pt idx="12">
                  <c:v>2500</c:v>
                </c:pt>
                <c:pt idx="13">
                  <c:v>2510</c:v>
                </c:pt>
                <c:pt idx="14">
                  <c:v>2631</c:v>
                </c:pt>
                <c:pt idx="15">
                  <c:v>3268</c:v>
                </c:pt>
                <c:pt idx="16">
                  <c:v>3889.5</c:v>
                </c:pt>
                <c:pt idx="17">
                  <c:v>3921</c:v>
                </c:pt>
                <c:pt idx="18">
                  <c:v>4012.5</c:v>
                </c:pt>
                <c:pt idx="19">
                  <c:v>4554</c:v>
                </c:pt>
                <c:pt idx="20">
                  <c:v>4596</c:v>
                </c:pt>
                <c:pt idx="21">
                  <c:v>4603</c:v>
                </c:pt>
                <c:pt idx="22">
                  <c:v>5844</c:v>
                </c:pt>
                <c:pt idx="23">
                  <c:v>6560</c:v>
                </c:pt>
                <c:pt idx="24">
                  <c:v>6560</c:v>
                </c:pt>
                <c:pt idx="25">
                  <c:v>7736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2.1326226127479525E-3</c:v>
                </c:pt>
                <c:pt idx="1">
                  <c:v>2.0814236136914542E-3</c:v>
                </c:pt>
                <c:pt idx="2">
                  <c:v>-1.6345329551028685E-5</c:v>
                </c:pt>
                <c:pt idx="3">
                  <c:v>-2.9921400759620504E-4</c:v>
                </c:pt>
                <c:pt idx="4">
                  <c:v>-5.4849058218802294E-4</c:v>
                </c:pt>
                <c:pt idx="5">
                  <c:v>-6.1405310134181898E-4</c:v>
                </c:pt>
                <c:pt idx="6">
                  <c:v>-6.1405310134181898E-4</c:v>
                </c:pt>
                <c:pt idx="7">
                  <c:v>-1.1987873711092434E-3</c:v>
                </c:pt>
                <c:pt idx="8">
                  <c:v>-1.200409058862164E-3</c:v>
                </c:pt>
                <c:pt idx="9">
                  <c:v>-1.4473689366640953E-3</c:v>
                </c:pt>
                <c:pt idx="10">
                  <c:v>-1.4716942529579063E-3</c:v>
                </c:pt>
                <c:pt idx="11">
                  <c:v>-1.7066073074524263E-3</c:v>
                </c:pt>
                <c:pt idx="12">
                  <c:v>-1.7066073074524263E-3</c:v>
                </c:pt>
                <c:pt idx="13">
                  <c:v>-1.7112407010321999E-3</c:v>
                </c:pt>
                <c:pt idx="14">
                  <c:v>-1.76730476334746E-3</c:v>
                </c:pt>
                <c:pt idx="15">
                  <c:v>-2.0624519343790367E-3</c:v>
                </c:pt>
                <c:pt idx="16">
                  <c:v>-2.3504173453619635E-3</c:v>
                </c:pt>
                <c:pt idx="17">
                  <c:v>-2.3650125351382502E-3</c:v>
                </c:pt>
                <c:pt idx="18">
                  <c:v>-2.4074080863931788E-3</c:v>
                </c:pt>
                <c:pt idx="19">
                  <c:v>-2.6583063487379171E-3</c:v>
                </c:pt>
                <c:pt idx="20">
                  <c:v>-2.6777666017729664E-3</c:v>
                </c:pt>
                <c:pt idx="21">
                  <c:v>-2.6810099772788076E-3</c:v>
                </c:pt>
                <c:pt idx="22">
                  <c:v>-3.2560141205287075E-3</c:v>
                </c:pt>
                <c:pt idx="23">
                  <c:v>-3.5877651008404949E-3</c:v>
                </c:pt>
                <c:pt idx="24">
                  <c:v>-3.5877651008404949E-3</c:v>
                </c:pt>
                <c:pt idx="25">
                  <c:v>-4.1326521858218671E-3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E1-443F-8FEE-3CE9D273FA2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-5786</c:v>
                </c:pt>
                <c:pt idx="1">
                  <c:v>-5675.5</c:v>
                </c:pt>
                <c:pt idx="2">
                  <c:v>-1148</c:v>
                </c:pt>
                <c:pt idx="3">
                  <c:v>-537.5</c:v>
                </c:pt>
                <c:pt idx="4">
                  <c:v>0.5</c:v>
                </c:pt>
                <c:pt idx="5">
                  <c:v>142</c:v>
                </c:pt>
                <c:pt idx="6">
                  <c:v>142</c:v>
                </c:pt>
                <c:pt idx="7">
                  <c:v>1404</c:v>
                </c:pt>
                <c:pt idx="8">
                  <c:v>1407.5</c:v>
                </c:pt>
                <c:pt idx="9">
                  <c:v>1940.5</c:v>
                </c:pt>
                <c:pt idx="10">
                  <c:v>1993</c:v>
                </c:pt>
                <c:pt idx="11">
                  <c:v>2500</c:v>
                </c:pt>
                <c:pt idx="12">
                  <c:v>2500</c:v>
                </c:pt>
                <c:pt idx="13">
                  <c:v>2510</c:v>
                </c:pt>
                <c:pt idx="14">
                  <c:v>2631</c:v>
                </c:pt>
                <c:pt idx="15">
                  <c:v>3268</c:v>
                </c:pt>
                <c:pt idx="16">
                  <c:v>3889.5</c:v>
                </c:pt>
                <c:pt idx="17">
                  <c:v>3921</c:v>
                </c:pt>
                <c:pt idx="18">
                  <c:v>4012.5</c:v>
                </c:pt>
                <c:pt idx="19">
                  <c:v>4554</c:v>
                </c:pt>
                <c:pt idx="20">
                  <c:v>4596</c:v>
                </c:pt>
                <c:pt idx="21">
                  <c:v>4603</c:v>
                </c:pt>
                <c:pt idx="22">
                  <c:v>5844</c:v>
                </c:pt>
                <c:pt idx="23">
                  <c:v>6560</c:v>
                </c:pt>
                <c:pt idx="24">
                  <c:v>6560</c:v>
                </c:pt>
                <c:pt idx="25">
                  <c:v>7736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-3.2625794192426838E-3</c:v>
                </c:pt>
                <c:pt idx="8">
                  <c:v>6.1170443877927028E-3</c:v>
                </c:pt>
                <c:pt idx="15">
                  <c:v>-1.4864772630971856E-2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E1-443F-8FEE-3CE9D273F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75128"/>
        <c:axId val="1"/>
      </c:scatterChart>
      <c:valAx>
        <c:axId val="60597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750519669439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75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42511885122828"/>
          <c:y val="0.9204921861831491"/>
          <c:w val="0.6968801113828082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Boo - O-C Diagr.</a:t>
            </a:r>
          </a:p>
        </c:rich>
      </c:tx>
      <c:layout>
        <c:manualLayout>
          <c:xMode val="edge"/>
          <c:yMode val="edge"/>
          <c:x val="0.376413909489100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109861001442757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-4638</c:v>
                </c:pt>
                <c:pt idx="1">
                  <c:v>-4527.5</c:v>
                </c:pt>
                <c:pt idx="2">
                  <c:v>0</c:v>
                </c:pt>
                <c:pt idx="3">
                  <c:v>610.5</c:v>
                </c:pt>
                <c:pt idx="4">
                  <c:v>1148.5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8F-4DD3-A609-C46BF8377F6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-4638</c:v>
                </c:pt>
                <c:pt idx="1">
                  <c:v>-4527.5</c:v>
                </c:pt>
                <c:pt idx="2">
                  <c:v>0</c:v>
                </c:pt>
                <c:pt idx="3">
                  <c:v>610.5</c:v>
                </c:pt>
                <c:pt idx="4">
                  <c:v>1148.5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0.10521000000153435</c:v>
                </c:pt>
                <c:pt idx="1">
                  <c:v>9.6387500001583248E-2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8F-4DD3-A609-C46BF8377F6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-4638</c:v>
                </c:pt>
                <c:pt idx="1">
                  <c:v>-4527.5</c:v>
                </c:pt>
                <c:pt idx="2">
                  <c:v>0</c:v>
                </c:pt>
                <c:pt idx="3">
                  <c:v>610.5</c:v>
                </c:pt>
                <c:pt idx="4">
                  <c:v>1148.5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3">
                  <c:v>-1.4422499996726401E-2</c:v>
                </c:pt>
                <c:pt idx="4">
                  <c:v>-2.6132499995583203E-2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8F-4DD3-A609-C46BF8377F6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-4638</c:v>
                </c:pt>
                <c:pt idx="1">
                  <c:v>-4527.5</c:v>
                </c:pt>
                <c:pt idx="2">
                  <c:v>0</c:v>
                </c:pt>
                <c:pt idx="3">
                  <c:v>610.5</c:v>
                </c:pt>
                <c:pt idx="4">
                  <c:v>1148.5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8F-4DD3-A609-C46BF8377F6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-4638</c:v>
                </c:pt>
                <c:pt idx="1">
                  <c:v>-4527.5</c:v>
                </c:pt>
                <c:pt idx="2">
                  <c:v>0</c:v>
                </c:pt>
                <c:pt idx="3">
                  <c:v>610.5</c:v>
                </c:pt>
                <c:pt idx="4">
                  <c:v>1148.5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8F-4DD3-A609-C46BF8377F6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-4638</c:v>
                </c:pt>
                <c:pt idx="1">
                  <c:v>-4527.5</c:v>
                </c:pt>
                <c:pt idx="2">
                  <c:v>0</c:v>
                </c:pt>
                <c:pt idx="3">
                  <c:v>610.5</c:v>
                </c:pt>
                <c:pt idx="4">
                  <c:v>1148.5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8F-4DD3-A609-C46BF8377F6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7.0000000000000001E-3</c:v>
                  </c:pt>
                  <c:pt idx="2">
                    <c:v>1.8E-3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-4638</c:v>
                </c:pt>
                <c:pt idx="1">
                  <c:v>-4527.5</c:v>
                </c:pt>
                <c:pt idx="2">
                  <c:v>0</c:v>
                </c:pt>
                <c:pt idx="3">
                  <c:v>610.5</c:v>
                </c:pt>
                <c:pt idx="4">
                  <c:v>1148.5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8F-4DD3-A609-C46BF8377F6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-4638</c:v>
                </c:pt>
                <c:pt idx="1">
                  <c:v>-4527.5</c:v>
                </c:pt>
                <c:pt idx="2">
                  <c:v>0</c:v>
                </c:pt>
                <c:pt idx="3">
                  <c:v>610.5</c:v>
                </c:pt>
                <c:pt idx="4">
                  <c:v>1148.5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0.10209650267954561</c:v>
                </c:pt>
                <c:pt idx="1">
                  <c:v>9.9650079422393845E-2</c:v>
                </c:pt>
                <c:pt idx="2">
                  <c:v>-5.8685538986454067E-4</c:v>
                </c:pt>
                <c:pt idx="3">
                  <c:v>-1.4103067140915616E-2</c:v>
                </c:pt>
                <c:pt idx="4">
                  <c:v>-2.6014159560351292E-2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8F-4DD3-A609-C46BF8377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972504"/>
        <c:axId val="1"/>
      </c:scatterChart>
      <c:valAx>
        <c:axId val="605972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972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739920030190085"/>
          <c:y val="0.92024539877300615"/>
          <c:w val="0.94345803705069975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390525</xdr:colOff>
      <xdr:row>18</xdr:row>
      <xdr:rowOff>47625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DD96012F-C785-EDEF-6AAE-6845C0009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FED2A4-AF37-6C62-0C97-CDCE963A0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astro.u-strasbg.fr/cgi-bin/Dic-Simbad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astro.u-strasbg.fr/cgi-bin/Dic-Simbad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ar.astro.cz/oejv/issues/oejv0162.pdf" TargetMode="External"/><Relationship Id="rId3" Type="http://schemas.openxmlformats.org/officeDocument/2006/relationships/hyperlink" Target="http://www.konkoly.hu/cgi-bin/IBVS?5820" TargetMode="External"/><Relationship Id="rId7" Type="http://schemas.openxmlformats.org/officeDocument/2006/relationships/hyperlink" Target="http://www.bav-astro.de/sfs/BAVM_link.php?BAVMnr=214" TargetMode="External"/><Relationship Id="rId12" Type="http://schemas.openxmlformats.org/officeDocument/2006/relationships/hyperlink" Target="http://www.bav-astro.de/sfs/BAVM_link.php?BAVMnr=228" TargetMode="External"/><Relationship Id="rId1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01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6050" TargetMode="External"/><Relationship Id="rId4" Type="http://schemas.openxmlformats.org/officeDocument/2006/relationships/hyperlink" Target="http://www.konkoly.hu/cgi-bin/IBVS?5875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259"/>
  <sheetViews>
    <sheetView tabSelected="1" workbookViewId="0">
      <pane xSplit="14" ySplit="22" topLeftCell="O31" activePane="bottomRight" state="frozen"/>
      <selection pane="topRight" activeCell="O1" sqref="O1"/>
      <selection pane="bottomLeft" activeCell="A23" sqref="A23"/>
      <selection pane="bottomRight" activeCell="A31" sqref="A3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1" ht="20.25">
      <c r="A1" s="1" t="s">
        <v>35</v>
      </c>
    </row>
    <row r="2" spans="1:21">
      <c r="A2" t="s">
        <v>26</v>
      </c>
      <c r="B2" s="21" t="s">
        <v>40</v>
      </c>
      <c r="C2" s="20" t="s">
        <v>36</v>
      </c>
      <c r="D2" s="6"/>
    </row>
    <row r="3" spans="1:21" ht="13.5" thickBot="1"/>
    <row r="4" spans="1:21" ht="13.5" thickBot="1">
      <c r="A4" s="8" t="s">
        <v>1</v>
      </c>
      <c r="C4" s="18" t="s">
        <v>32</v>
      </c>
      <c r="D4" s="19" t="s">
        <v>32</v>
      </c>
    </row>
    <row r="5" spans="1:21">
      <c r="A5" s="24" t="s">
        <v>47</v>
      </c>
      <c r="B5" s="25"/>
      <c r="C5" s="26">
        <v>-9.5</v>
      </c>
      <c r="D5" s="25" t="s">
        <v>48</v>
      </c>
    </row>
    <row r="6" spans="1:21">
      <c r="A6" s="8" t="s">
        <v>2</v>
      </c>
    </row>
    <row r="7" spans="1:21">
      <c r="A7" t="s">
        <v>3</v>
      </c>
      <c r="C7" s="17">
        <v>54515.641956910222</v>
      </c>
    </row>
    <row r="8" spans="1:21">
      <c r="A8" t="s">
        <v>4</v>
      </c>
      <c r="C8">
        <v>0.56892286042301221</v>
      </c>
    </row>
    <row r="9" spans="1:21">
      <c r="A9" s="37" t="s">
        <v>52</v>
      </c>
      <c r="B9" s="38">
        <v>21</v>
      </c>
      <c r="C9" s="28" t="str">
        <f>"F"&amp;B9</f>
        <v>F21</v>
      </c>
      <c r="D9" s="29" t="str">
        <f>"G"&amp;B9</f>
        <v>G21</v>
      </c>
    </row>
    <row r="10" spans="1:21" ht="13.5" thickBot="1">
      <c r="A10" s="25"/>
      <c r="B10" s="25"/>
      <c r="C10" s="7" t="s">
        <v>21</v>
      </c>
      <c r="D10" s="7" t="s">
        <v>22</v>
      </c>
      <c r="E10" s="25"/>
    </row>
    <row r="11" spans="1:21">
      <c r="A11" s="25" t="s">
        <v>17</v>
      </c>
      <c r="B11" s="25"/>
      <c r="C11" s="27">
        <f ca="1">INTERCEPT(INDIRECT($D$9):G991,INDIRECT($C$9):F991)</f>
        <v>-5.482589125090343E-4</v>
      </c>
      <c r="D11" s="6"/>
      <c r="E11" s="25"/>
    </row>
    <row r="12" spans="1:21">
      <c r="A12" s="25" t="s">
        <v>18</v>
      </c>
      <c r="B12" s="25"/>
      <c r="C12" s="27">
        <f ca="1">SLOPE(INDIRECT($D$9):G991,INDIRECT($C$9):F991)</f>
        <v>-4.6333935797735682E-7</v>
      </c>
      <c r="D12" s="6"/>
      <c r="E12" s="25"/>
    </row>
    <row r="13" spans="1:21">
      <c r="A13" s="25" t="s">
        <v>20</v>
      </c>
      <c r="B13" s="25"/>
      <c r="C13" s="6" t="s">
        <v>15</v>
      </c>
    </row>
    <row r="14" spans="1:21">
      <c r="A14" s="25"/>
      <c r="B14" s="25"/>
      <c r="C14" s="25"/>
    </row>
    <row r="15" spans="1:21">
      <c r="A15" s="30" t="s">
        <v>19</v>
      </c>
      <c r="B15" s="25"/>
      <c r="C15" s="11">
        <f ca="1">(C7+C11)+(C8+C12)*INT(MAX(F21:F3532))</f>
        <v>58916.825072490457</v>
      </c>
      <c r="E15" s="31" t="s">
        <v>53</v>
      </c>
      <c r="F15" s="26">
        <v>1</v>
      </c>
    </row>
    <row r="16" spans="1:21">
      <c r="A16" s="33" t="s">
        <v>5</v>
      </c>
      <c r="B16" s="25"/>
      <c r="C16" s="12">
        <f ca="1">+C8+C12</f>
        <v>0.56892239708365422</v>
      </c>
      <c r="E16" s="31" t="s">
        <v>49</v>
      </c>
      <c r="F16" s="32">
        <f ca="1">NOW()+15018.5+$C$5/24</f>
        <v>60324.730762384257</v>
      </c>
      <c r="U16" s="67"/>
    </row>
    <row r="17" spans="1:21" ht="13.5" thickBot="1">
      <c r="A17" s="31" t="s">
        <v>33</v>
      </c>
      <c r="B17" s="25"/>
      <c r="C17" s="25">
        <f>COUNT(C21:C2190)</f>
        <v>26</v>
      </c>
      <c r="E17" s="31" t="s">
        <v>54</v>
      </c>
      <c r="F17" s="32">
        <f ca="1">ROUND(2*(F16-$C$7)/$C$8,0)/2+F15</f>
        <v>10211.5</v>
      </c>
      <c r="U17" s="67"/>
    </row>
    <row r="18" spans="1:21" ht="14.25" thickTop="1" thickBot="1">
      <c r="A18" s="33" t="s">
        <v>6</v>
      </c>
      <c r="B18" s="25"/>
      <c r="C18" s="35">
        <f ca="1">+C15</f>
        <v>58916.825072490457</v>
      </c>
      <c r="D18" s="36">
        <f ca="1">+C16</f>
        <v>0.56892239708365422</v>
      </c>
      <c r="E18" s="31" t="s">
        <v>50</v>
      </c>
      <c r="F18" s="29">
        <f ca="1">ROUND(2*(F16-$C$15)/$C$16,0)/2+F15</f>
        <v>2475.5</v>
      </c>
      <c r="U18" s="67"/>
    </row>
    <row r="19" spans="1:21" ht="13.5" thickTop="1">
      <c r="E19" s="31" t="s">
        <v>51</v>
      </c>
      <c r="F19" s="34">
        <f ca="1">+$C$15+$C$16*F18-15018.5-$C$5/24</f>
        <v>45307.088299804382</v>
      </c>
      <c r="U19" s="67"/>
    </row>
    <row r="20" spans="1:2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69</v>
      </c>
      <c r="I20" s="10" t="s">
        <v>72</v>
      </c>
      <c r="J20" s="10" t="s">
        <v>66</v>
      </c>
      <c r="K20" s="10" t="s">
        <v>64</v>
      </c>
      <c r="L20" s="10" t="s">
        <v>157</v>
      </c>
      <c r="M20" s="10" t="s">
        <v>158</v>
      </c>
      <c r="N20" s="10" t="s">
        <v>159</v>
      </c>
      <c r="O20" s="10" t="s">
        <v>24</v>
      </c>
      <c r="P20" s="9" t="s">
        <v>23</v>
      </c>
      <c r="Q20" s="7" t="s">
        <v>16</v>
      </c>
      <c r="U20" s="68" t="s">
        <v>160</v>
      </c>
    </row>
    <row r="21" spans="1:21">
      <c r="A21" s="15" t="s">
        <v>37</v>
      </c>
      <c r="B21" s="16" t="s">
        <v>38</v>
      </c>
      <c r="C21" s="14">
        <v>51223.857400000001</v>
      </c>
      <c r="D21" s="14">
        <v>1E-3</v>
      </c>
      <c r="E21">
        <f t="shared" ref="E21:E46" si="0">+(C21-C$7)/C$8</f>
        <v>-5785.9945273822796</v>
      </c>
      <c r="F21">
        <f t="shared" ref="F21:F46" si="1">ROUND(2*E21,0)/2</f>
        <v>-5786</v>
      </c>
      <c r="G21">
        <f>+C21-(C$7+F21*C$8)</f>
        <v>3.1134973251027986E-3</v>
      </c>
      <c r="J21">
        <f>+G21</f>
        <v>3.1134973251027986E-3</v>
      </c>
      <c r="O21">
        <f t="shared" ref="O21:O46" ca="1" si="2">+C$11+C$12*$F21</f>
        <v>2.1326226127479525E-3</v>
      </c>
      <c r="Q21" s="2">
        <f t="shared" ref="Q21:Q46" si="3">+C21-15018.5</f>
        <v>36205.357400000001</v>
      </c>
      <c r="U21" s="67"/>
    </row>
    <row r="22" spans="1:21">
      <c r="A22" s="15" t="s">
        <v>37</v>
      </c>
      <c r="B22" s="6" t="s">
        <v>39</v>
      </c>
      <c r="C22" s="14">
        <v>51286.716999999997</v>
      </c>
      <c r="D22" s="14">
        <v>7.0000000000000001E-3</v>
      </c>
      <c r="E22">
        <f t="shared" si="0"/>
        <v>-5675.5057346604362</v>
      </c>
      <c r="F22">
        <f t="shared" si="1"/>
        <v>-5675.5</v>
      </c>
      <c r="O22">
        <f t="shared" ca="1" si="2"/>
        <v>2.0814236136914542E-3</v>
      </c>
      <c r="Q22" s="2">
        <f t="shared" si="3"/>
        <v>36268.216999999997</v>
      </c>
      <c r="U22" s="67">
        <v>-3.2625794192426838E-3</v>
      </c>
    </row>
    <row r="23" spans="1:21">
      <c r="A23" s="15" t="s">
        <v>34</v>
      </c>
      <c r="B23" s="16"/>
      <c r="C23" s="17">
        <v>53862.519099999998</v>
      </c>
      <c r="D23" s="17">
        <v>1.8E-3</v>
      </c>
      <c r="E23">
        <f t="shared" si="0"/>
        <v>-1147.9989684798506</v>
      </c>
      <c r="F23">
        <f t="shared" si="1"/>
        <v>-1148</v>
      </c>
      <c r="G23">
        <f t="shared" ref="G23:G28" si="4">+C23-(C$7+F23*C$8)</f>
        <v>5.8685539261205122E-4</v>
      </c>
      <c r="J23">
        <f>+G23</f>
        <v>5.8685539261205122E-4</v>
      </c>
      <c r="O23">
        <f t="shared" ca="1" si="2"/>
        <v>-1.6345329551028685E-5</v>
      </c>
      <c r="Q23" s="2">
        <f t="shared" si="3"/>
        <v>38844.019099999998</v>
      </c>
      <c r="U23" s="67"/>
    </row>
    <row r="24" spans="1:21">
      <c r="A24" s="22" t="s">
        <v>44</v>
      </c>
      <c r="C24" s="14">
        <v>54209.845600000001</v>
      </c>
      <c r="D24" s="14">
        <v>5.0000000000000001E-4</v>
      </c>
      <c r="E24">
        <f t="shared" si="0"/>
        <v>-537.50056146953193</v>
      </c>
      <c r="F24">
        <f t="shared" si="1"/>
        <v>-537.5</v>
      </c>
      <c r="G24">
        <f t="shared" si="4"/>
        <v>-3.194328528479673E-4</v>
      </c>
      <c r="K24">
        <f>+G24</f>
        <v>-3.194328528479673E-4</v>
      </c>
      <c r="O24">
        <f t="shared" ca="1" si="2"/>
        <v>-2.9921400759620504E-4</v>
      </c>
      <c r="Q24" s="2">
        <f t="shared" si="3"/>
        <v>39191.345600000001</v>
      </c>
      <c r="U24" s="67"/>
    </row>
    <row r="25" spans="1:21">
      <c r="A25" s="22" t="s">
        <v>45</v>
      </c>
      <c r="C25" s="23">
        <v>54515.926299999999</v>
      </c>
      <c r="D25" s="14">
        <v>2.9999999999999997E-4</v>
      </c>
      <c r="E25">
        <f t="shared" si="0"/>
        <v>0.49979199212697495</v>
      </c>
      <c r="F25">
        <f t="shared" si="1"/>
        <v>0.5</v>
      </c>
      <c r="G25">
        <f t="shared" si="4"/>
        <v>-1.1834043107228354E-4</v>
      </c>
      <c r="K25">
        <f>+G25</f>
        <v>-1.1834043107228354E-4</v>
      </c>
      <c r="O25">
        <f t="shared" ca="1" si="2"/>
        <v>-5.4849058218802294E-4</v>
      </c>
      <c r="Q25" s="2">
        <f t="shared" si="3"/>
        <v>39497.426299999999</v>
      </c>
      <c r="U25" s="67"/>
    </row>
    <row r="26" spans="1:21">
      <c r="A26" s="39" t="s">
        <v>46</v>
      </c>
      <c r="B26" s="40" t="s">
        <v>38</v>
      </c>
      <c r="C26" s="39">
        <v>54596.4277</v>
      </c>
      <c r="D26" s="39">
        <v>4.0000000000000002E-4</v>
      </c>
      <c r="E26">
        <f t="shared" si="0"/>
        <v>141.99770954837646</v>
      </c>
      <c r="F26">
        <f t="shared" si="1"/>
        <v>142</v>
      </c>
      <c r="G26">
        <f t="shared" si="4"/>
        <v>-1.3030902919126675E-3</v>
      </c>
      <c r="H26" s="66"/>
      <c r="J26">
        <f>+G26</f>
        <v>-1.3030902919126675E-3</v>
      </c>
      <c r="O26">
        <f t="shared" ca="1" si="2"/>
        <v>-6.1405310134181898E-4</v>
      </c>
      <c r="Q26" s="2">
        <f t="shared" si="3"/>
        <v>39577.9277</v>
      </c>
      <c r="U26" s="67"/>
    </row>
    <row r="27" spans="1:21">
      <c r="A27" s="41" t="s">
        <v>46</v>
      </c>
      <c r="B27" s="42" t="s">
        <v>38</v>
      </c>
      <c r="C27" s="43">
        <v>54596.4277</v>
      </c>
      <c r="D27" s="41">
        <v>4.0000000000000002E-4</v>
      </c>
      <c r="E27">
        <f t="shared" si="0"/>
        <v>141.99770954837646</v>
      </c>
      <c r="F27">
        <f t="shared" si="1"/>
        <v>142</v>
      </c>
      <c r="G27">
        <f t="shared" si="4"/>
        <v>-1.3030902919126675E-3</v>
      </c>
      <c r="J27">
        <f>+G27</f>
        <v>-1.3030902919126675E-3</v>
      </c>
      <c r="O27">
        <f t="shared" ca="1" si="2"/>
        <v>-6.1405310134181898E-4</v>
      </c>
      <c r="Q27" s="2">
        <f t="shared" si="3"/>
        <v>39577.9277</v>
      </c>
      <c r="U27" s="67"/>
    </row>
    <row r="28" spans="1:21">
      <c r="A28" s="41" t="s">
        <v>55</v>
      </c>
      <c r="B28" s="42" t="s">
        <v>38</v>
      </c>
      <c r="C28" s="41">
        <v>55314.410400000001</v>
      </c>
      <c r="D28" s="41">
        <v>8.5000000000000006E-3</v>
      </c>
      <c r="E28">
        <f t="shared" si="0"/>
        <v>1404.0013131057331</v>
      </c>
      <c r="F28">
        <f t="shared" si="1"/>
        <v>1404</v>
      </c>
      <c r="G28">
        <f t="shared" si="4"/>
        <v>7.4705587030621246E-4</v>
      </c>
      <c r="J28">
        <f>G28</f>
        <v>7.4705587030621246E-4</v>
      </c>
      <c r="O28">
        <f t="shared" ca="1" si="2"/>
        <v>-1.1987873711092434E-3</v>
      </c>
      <c r="Q28" s="2">
        <f t="shared" si="3"/>
        <v>40295.910400000001</v>
      </c>
      <c r="U28" s="67"/>
    </row>
    <row r="29" spans="1:21">
      <c r="A29" s="41" t="s">
        <v>55</v>
      </c>
      <c r="B29" s="42" t="s">
        <v>38</v>
      </c>
      <c r="C29" s="41">
        <v>55316.406999999999</v>
      </c>
      <c r="D29" s="41">
        <v>6.0000000000000001E-3</v>
      </c>
      <c r="E29">
        <f t="shared" si="0"/>
        <v>1407.5107519750275</v>
      </c>
      <c r="F29">
        <f t="shared" si="1"/>
        <v>1407.5</v>
      </c>
      <c r="O29">
        <f t="shared" ca="1" si="2"/>
        <v>-1.200409058862164E-3</v>
      </c>
      <c r="Q29" s="2">
        <f t="shared" si="3"/>
        <v>40297.906999999999</v>
      </c>
      <c r="U29" s="67">
        <v>6.1170443877927028E-3</v>
      </c>
    </row>
    <row r="30" spans="1:21">
      <c r="A30" s="44" t="s">
        <v>56</v>
      </c>
      <c r="B30" s="40" t="s">
        <v>39</v>
      </c>
      <c r="C30" s="39">
        <v>55619.634510000004</v>
      </c>
      <c r="D30" s="39">
        <v>4.0000000000000002E-4</v>
      </c>
      <c r="E30">
        <f t="shared" si="0"/>
        <v>1940.4960318678848</v>
      </c>
      <c r="F30">
        <f t="shared" si="1"/>
        <v>1940.5</v>
      </c>
      <c r="G30">
        <f t="shared" ref="G30:G35" si="5">+C30-(C$7+F30*C$8)</f>
        <v>-2.257561071019154E-3</v>
      </c>
      <c r="K30">
        <f>+G30</f>
        <v>-2.257561071019154E-3</v>
      </c>
      <c r="O30">
        <f t="shared" ca="1" si="2"/>
        <v>-1.4473689366640953E-3</v>
      </c>
      <c r="Q30" s="2">
        <f t="shared" si="3"/>
        <v>40601.134510000004</v>
      </c>
      <c r="U30" s="67"/>
    </row>
    <row r="31" spans="1:21">
      <c r="A31" s="44" t="s">
        <v>56</v>
      </c>
      <c r="B31" s="40" t="s">
        <v>38</v>
      </c>
      <c r="C31" s="39">
        <v>55649.504070000003</v>
      </c>
      <c r="D31" s="39">
        <v>2.9999999999999997E-4</v>
      </c>
      <c r="E31">
        <f t="shared" si="0"/>
        <v>1992.9979826205586</v>
      </c>
      <c r="F31">
        <f t="shared" si="1"/>
        <v>1993</v>
      </c>
      <c r="G31">
        <f t="shared" si="5"/>
        <v>-1.1477332809590735E-3</v>
      </c>
      <c r="K31">
        <f>+G31</f>
        <v>-1.1477332809590735E-3</v>
      </c>
      <c r="O31">
        <f t="shared" ca="1" si="2"/>
        <v>-1.4716942529579063E-3</v>
      </c>
      <c r="Q31" s="2">
        <f t="shared" si="3"/>
        <v>40631.004070000003</v>
      </c>
      <c r="U31" s="67"/>
    </row>
    <row r="32" spans="1:21">
      <c r="A32" s="64" t="s">
        <v>57</v>
      </c>
      <c r="B32" s="65" t="s">
        <v>38</v>
      </c>
      <c r="C32" s="64">
        <v>55937.944589999999</v>
      </c>
      <c r="D32" s="64" t="s">
        <v>72</v>
      </c>
      <c r="E32" s="46">
        <f t="shared" si="0"/>
        <v>2499.9920587340262</v>
      </c>
      <c r="F32">
        <f t="shared" si="1"/>
        <v>2500</v>
      </c>
      <c r="G32">
        <f t="shared" si="5"/>
        <v>-4.5179677545093E-3</v>
      </c>
      <c r="J32">
        <f>+G32</f>
        <v>-4.5179677545093E-3</v>
      </c>
      <c r="O32">
        <f t="shared" ca="1" si="2"/>
        <v>-1.7066073074524263E-3</v>
      </c>
      <c r="Q32" s="2">
        <f t="shared" si="3"/>
        <v>40919.444589999999</v>
      </c>
      <c r="U32" s="67"/>
    </row>
    <row r="33" spans="1:21">
      <c r="A33" s="45" t="s">
        <v>57</v>
      </c>
      <c r="B33" s="46"/>
      <c r="C33" s="47">
        <v>55937.94459434435</v>
      </c>
      <c r="D33" s="39">
        <v>4.0000000000000002E-4</v>
      </c>
      <c r="E33">
        <f t="shared" si="0"/>
        <v>2499.9920663701241</v>
      </c>
      <c r="F33">
        <f t="shared" si="1"/>
        <v>2500</v>
      </c>
      <c r="G33">
        <f t="shared" si="5"/>
        <v>-4.5136234039091505E-3</v>
      </c>
      <c r="K33">
        <f>+G33</f>
        <v>-4.5136234039091505E-3</v>
      </c>
      <c r="O33">
        <f t="shared" ca="1" si="2"/>
        <v>-1.7066073074524263E-3</v>
      </c>
      <c r="Q33" s="2">
        <f t="shared" si="3"/>
        <v>40919.44459434435</v>
      </c>
      <c r="U33" s="67"/>
    </row>
    <row r="34" spans="1:21">
      <c r="A34" s="48" t="s">
        <v>59</v>
      </c>
      <c r="B34" s="49" t="s">
        <v>38</v>
      </c>
      <c r="C34" s="39">
        <v>55943.635900000001</v>
      </c>
      <c r="D34" s="50">
        <v>2.9999999999999997E-4</v>
      </c>
      <c r="E34" s="46">
        <f t="shared" si="0"/>
        <v>2509.995717219063</v>
      </c>
      <c r="F34">
        <f t="shared" si="1"/>
        <v>2510</v>
      </c>
      <c r="G34">
        <f t="shared" si="5"/>
        <v>-2.4365719800698571E-3</v>
      </c>
      <c r="J34">
        <f>+G34</f>
        <v>-2.4365719800698571E-3</v>
      </c>
      <c r="O34">
        <f t="shared" ca="1" si="2"/>
        <v>-1.7112407010321999E-3</v>
      </c>
      <c r="Q34" s="2">
        <f t="shared" si="3"/>
        <v>40925.135900000001</v>
      </c>
      <c r="U34" s="67"/>
    </row>
    <row r="35" spans="1:21">
      <c r="A35" s="44" t="s">
        <v>58</v>
      </c>
      <c r="B35" s="40" t="s">
        <v>38</v>
      </c>
      <c r="C35" s="39">
        <v>56012.476499999997</v>
      </c>
      <c r="D35" s="39">
        <v>2.0000000000000001E-4</v>
      </c>
      <c r="E35">
        <f t="shared" si="0"/>
        <v>2630.9973587224658</v>
      </c>
      <c r="F35">
        <f t="shared" si="1"/>
        <v>2631</v>
      </c>
      <c r="G35">
        <f t="shared" si="5"/>
        <v>-1.5026831679278985E-3</v>
      </c>
      <c r="J35">
        <f>+G35</f>
        <v>-1.5026831679278985E-3</v>
      </c>
      <c r="O35">
        <f t="shared" ca="1" si="2"/>
        <v>-1.76730476334746E-3</v>
      </c>
      <c r="Q35" s="2">
        <f t="shared" si="3"/>
        <v>40993.976499999997</v>
      </c>
      <c r="U35" s="67"/>
    </row>
    <row r="36" spans="1:21">
      <c r="A36" s="64" t="s">
        <v>138</v>
      </c>
      <c r="B36" s="65" t="s">
        <v>38</v>
      </c>
      <c r="C36" s="64">
        <v>56374.866999999998</v>
      </c>
      <c r="D36" s="64" t="s">
        <v>72</v>
      </c>
      <c r="E36" s="46">
        <f t="shared" si="0"/>
        <v>3267.9738720771102</v>
      </c>
      <c r="F36">
        <f t="shared" si="1"/>
        <v>3268</v>
      </c>
      <c r="O36">
        <f t="shared" ca="1" si="2"/>
        <v>-2.0624519343790367E-3</v>
      </c>
      <c r="Q36" s="2">
        <f t="shared" si="3"/>
        <v>41356.366999999998</v>
      </c>
      <c r="U36" s="67">
        <f>+C36-(C$7+F36*C$8)</f>
        <v>-1.4864772630971856E-2</v>
      </c>
    </row>
    <row r="37" spans="1:21">
      <c r="A37" s="39" t="s">
        <v>61</v>
      </c>
      <c r="B37" s="40" t="s">
        <v>39</v>
      </c>
      <c r="C37" s="70">
        <v>56728.465810000002</v>
      </c>
      <c r="D37" s="39">
        <v>5.0000000000000001E-4</v>
      </c>
      <c r="E37" s="46">
        <f t="shared" si="0"/>
        <v>3889.4971656517282</v>
      </c>
      <c r="F37">
        <f t="shared" si="1"/>
        <v>3889.5</v>
      </c>
      <c r="G37">
        <f t="shared" ref="G37:G46" si="6">+C37-(C$7+F37*C$8)</f>
        <v>-1.6125255278893746E-3</v>
      </c>
      <c r="K37">
        <f>+G37</f>
        <v>-1.6125255278893746E-3</v>
      </c>
      <c r="O37">
        <f t="shared" ca="1" si="2"/>
        <v>-2.3504173453619635E-3</v>
      </c>
      <c r="Q37" s="2">
        <f t="shared" si="3"/>
        <v>41709.965810000002</v>
      </c>
      <c r="U37" s="67"/>
    </row>
    <row r="38" spans="1:21">
      <c r="A38" s="50" t="s">
        <v>60</v>
      </c>
      <c r="B38" s="49" t="s">
        <v>38</v>
      </c>
      <c r="C38" s="50">
        <v>56746.387699999999</v>
      </c>
      <c r="D38" s="50">
        <v>9.4000000000000004E-3</v>
      </c>
      <c r="E38" s="46">
        <f t="shared" si="0"/>
        <v>3920.9986067902901</v>
      </c>
      <c r="F38">
        <f t="shared" si="1"/>
        <v>3921</v>
      </c>
      <c r="G38">
        <f t="shared" si="6"/>
        <v>-7.9262885265052319E-4</v>
      </c>
      <c r="J38">
        <f>+G38</f>
        <v>-7.9262885265052319E-4</v>
      </c>
      <c r="O38">
        <f t="shared" ca="1" si="2"/>
        <v>-2.3650125351382502E-3</v>
      </c>
      <c r="Q38" s="2">
        <f t="shared" si="3"/>
        <v>41727.887699999999</v>
      </c>
      <c r="U38" s="67"/>
    </row>
    <row r="39" spans="1:21">
      <c r="A39" s="50" t="s">
        <v>60</v>
      </c>
      <c r="B39" s="49" t="s">
        <v>38</v>
      </c>
      <c r="C39" s="50">
        <v>56798.442900000002</v>
      </c>
      <c r="D39" s="50">
        <v>4.1000000000000003E-3</v>
      </c>
      <c r="E39" s="46">
        <f t="shared" si="0"/>
        <v>4012.496424194389</v>
      </c>
      <c r="F39">
        <f t="shared" si="1"/>
        <v>4012.5</v>
      </c>
      <c r="G39">
        <f t="shared" si="6"/>
        <v>-2.0343575597507879E-3</v>
      </c>
      <c r="J39">
        <f>+G39</f>
        <v>-2.0343575597507879E-3</v>
      </c>
      <c r="O39">
        <f t="shared" ca="1" si="2"/>
        <v>-2.4074080863931788E-3</v>
      </c>
      <c r="Q39" s="2">
        <f t="shared" si="3"/>
        <v>41779.942900000002</v>
      </c>
      <c r="U39" s="67"/>
    </row>
    <row r="40" spans="1:21">
      <c r="A40" s="17" t="s">
        <v>161</v>
      </c>
      <c r="B40" s="71"/>
      <c r="C40" s="17">
        <v>57106.512300000002</v>
      </c>
      <c r="D40" s="17">
        <v>8.2000000000000007E-3</v>
      </c>
      <c r="E40" s="46">
        <f t="shared" si="0"/>
        <v>4553.9923306358014</v>
      </c>
      <c r="F40">
        <f t="shared" si="1"/>
        <v>4554</v>
      </c>
      <c r="G40">
        <f t="shared" si="6"/>
        <v>-4.3632766173686832E-3</v>
      </c>
      <c r="K40">
        <f t="shared" ref="K40:K46" si="7">+G40</f>
        <v>-4.3632766173686832E-3</v>
      </c>
      <c r="O40">
        <f t="shared" ca="1" si="2"/>
        <v>-2.6583063487379171E-3</v>
      </c>
      <c r="Q40" s="2">
        <f t="shared" si="3"/>
        <v>42088.012300000002</v>
      </c>
      <c r="U40" s="67"/>
    </row>
    <row r="41" spans="1:21">
      <c r="A41" s="17" t="s">
        <v>161</v>
      </c>
      <c r="B41" s="71"/>
      <c r="C41" s="17">
        <v>57130.408799999997</v>
      </c>
      <c r="D41" s="17">
        <v>4.0000000000000002E-4</v>
      </c>
      <c r="E41" s="46">
        <f t="shared" si="0"/>
        <v>4595.9953888047557</v>
      </c>
      <c r="F41">
        <f t="shared" si="1"/>
        <v>4596</v>
      </c>
      <c r="G41">
        <f t="shared" si="6"/>
        <v>-2.6234143879264593E-3</v>
      </c>
      <c r="K41">
        <f t="shared" si="7"/>
        <v>-2.6234143879264593E-3</v>
      </c>
      <c r="O41">
        <f t="shared" ca="1" si="2"/>
        <v>-2.6777666017729664E-3</v>
      </c>
      <c r="Q41" s="2">
        <f t="shared" si="3"/>
        <v>42111.908799999997</v>
      </c>
      <c r="U41" s="67"/>
    </row>
    <row r="42" spans="1:21">
      <c r="A42" s="72" t="s">
        <v>162</v>
      </c>
      <c r="B42" s="73" t="s">
        <v>38</v>
      </c>
      <c r="C42" s="74">
        <v>57134.391309999999</v>
      </c>
      <c r="D42" s="74">
        <v>2.0000000000000001E-4</v>
      </c>
      <c r="E42" s="46">
        <f t="shared" si="0"/>
        <v>4602.9954766497767</v>
      </c>
      <c r="F42">
        <f t="shared" si="1"/>
        <v>4603</v>
      </c>
      <c r="G42">
        <f t="shared" si="6"/>
        <v>-2.5734373484738171E-3</v>
      </c>
      <c r="K42">
        <f t="shared" si="7"/>
        <v>-2.5734373484738171E-3</v>
      </c>
      <c r="O42">
        <f t="shared" ca="1" si="2"/>
        <v>-2.6810099772788076E-3</v>
      </c>
      <c r="Q42" s="2">
        <f t="shared" si="3"/>
        <v>42115.891309999999</v>
      </c>
      <c r="U42" s="67"/>
    </row>
    <row r="43" spans="1:21">
      <c r="A43" s="69" t="s">
        <v>0</v>
      </c>
      <c r="B43" s="76" t="s">
        <v>38</v>
      </c>
      <c r="C43" s="77">
        <v>57840.427100000001</v>
      </c>
      <c r="D43" s="77">
        <v>3.2000000000000002E-3</v>
      </c>
      <c r="E43" s="46">
        <f t="shared" si="0"/>
        <v>5843.9999064507547</v>
      </c>
      <c r="F43">
        <f t="shared" si="1"/>
        <v>5844</v>
      </c>
      <c r="G43">
        <f t="shared" si="6"/>
        <v>-5.3222305723465979E-5</v>
      </c>
      <c r="K43">
        <f t="shared" si="7"/>
        <v>-5.3222305723465979E-5</v>
      </c>
      <c r="O43">
        <f t="shared" ca="1" si="2"/>
        <v>-3.2560141205287075E-3</v>
      </c>
      <c r="Q43" s="2">
        <f t="shared" si="3"/>
        <v>42821.927100000001</v>
      </c>
      <c r="U43" s="67"/>
    </row>
    <row r="44" spans="1:21">
      <c r="A44" s="75" t="s">
        <v>163</v>
      </c>
      <c r="B44" s="40"/>
      <c r="C44" s="39">
        <v>58247.772199999999</v>
      </c>
      <c r="D44" s="39">
        <v>4.0000000000000002E-4</v>
      </c>
      <c r="E44" s="46">
        <f t="shared" si="0"/>
        <v>6559.9934590689854</v>
      </c>
      <c r="F44">
        <f t="shared" si="1"/>
        <v>6560</v>
      </c>
      <c r="G44">
        <f t="shared" si="6"/>
        <v>-3.7212851821095683E-3</v>
      </c>
      <c r="K44">
        <f t="shared" si="7"/>
        <v>-3.7212851821095683E-3</v>
      </c>
      <c r="O44">
        <f t="shared" ca="1" si="2"/>
        <v>-3.5877651008404949E-3</v>
      </c>
      <c r="Q44" s="2">
        <f t="shared" si="3"/>
        <v>43229.272199999999</v>
      </c>
      <c r="U44" s="67"/>
    </row>
    <row r="45" spans="1:21">
      <c r="A45" s="78" t="s">
        <v>165</v>
      </c>
      <c r="B45" s="79" t="s">
        <v>38</v>
      </c>
      <c r="C45" s="80">
        <v>58247.772199999999</v>
      </c>
      <c r="D45" s="81">
        <v>4.0000000000000002E-4</v>
      </c>
      <c r="E45" s="46">
        <f t="shared" si="0"/>
        <v>6559.9934590689854</v>
      </c>
      <c r="F45">
        <f t="shared" si="1"/>
        <v>6560</v>
      </c>
      <c r="G45">
        <f t="shared" si="6"/>
        <v>-3.7212851821095683E-3</v>
      </c>
      <c r="K45">
        <f t="shared" si="7"/>
        <v>-3.7212851821095683E-3</v>
      </c>
      <c r="O45">
        <f t="shared" ca="1" si="2"/>
        <v>-3.5877651008404949E-3</v>
      </c>
      <c r="Q45" s="2">
        <f t="shared" si="3"/>
        <v>43229.272199999999</v>
      </c>
    </row>
    <row r="46" spans="1:21">
      <c r="A46" s="8" t="s">
        <v>164</v>
      </c>
      <c r="C46" s="14">
        <v>58916.824999999997</v>
      </c>
      <c r="D46" s="14">
        <v>4.0000000000000002E-4</v>
      </c>
      <c r="E46" s="46">
        <f t="shared" si="0"/>
        <v>7735.9926085890729</v>
      </c>
      <c r="F46">
        <f t="shared" si="1"/>
        <v>7736</v>
      </c>
      <c r="G46">
        <f t="shared" si="6"/>
        <v>-4.2051426498801447E-3</v>
      </c>
      <c r="K46">
        <f t="shared" si="7"/>
        <v>-4.2051426498801447E-3</v>
      </c>
      <c r="O46">
        <f t="shared" ca="1" si="2"/>
        <v>-4.1326521858218671E-3</v>
      </c>
      <c r="Q46" s="2">
        <f t="shared" si="3"/>
        <v>43898.324999999997</v>
      </c>
    </row>
    <row r="47" spans="1:21">
      <c r="C47" s="14"/>
      <c r="D47" s="14"/>
    </row>
    <row r="48" spans="1:21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</sheetData>
  <sortState xmlns:xlrd2="http://schemas.microsoft.com/office/spreadsheetml/2017/richdata2" ref="A21:U46">
    <sortCondition ref="C21:C46"/>
  </sortState>
  <phoneticPr fontId="8" type="noConversion"/>
  <hyperlinks>
    <hyperlink ref="C2" r:id="rId1" display="http://astro.u-strasbg.fr/cgi-bin/Dic-Simbad" xr:uid="{00000000-0004-0000-0000-000000000000}"/>
    <hyperlink ref="H2928" r:id="rId2" display="http://vsolj.cetus-net.org/bulletin.html" xr:uid="{00000000-0004-0000-0000-000001000000}"/>
    <hyperlink ref="H64723" r:id="rId3" display="http://vsolj.cetus-net.org/bulletin.html" xr:uid="{00000000-0004-0000-0000-000002000000}"/>
    <hyperlink ref="H64716" r:id="rId4" display="https://www.aavso.org/ejaavso" xr:uid="{00000000-0004-0000-0000-000003000000}"/>
    <hyperlink ref="AP1574" r:id="rId5" display="http://cdsbib.u-strasbg.fr/cgi-bin/cdsbib?1990RMxAA..21..381G" xr:uid="{00000000-0004-0000-0000-000004000000}"/>
    <hyperlink ref="AP1571" r:id="rId6" display="http://cdsbib.u-strasbg.fr/cgi-bin/cdsbib?1990RMxAA..21..381G" xr:uid="{00000000-0004-0000-0000-000005000000}"/>
    <hyperlink ref="AP1573" r:id="rId7" display="http://cdsbib.u-strasbg.fr/cgi-bin/cdsbib?1990RMxAA..21..381G" xr:uid="{00000000-0004-0000-0000-000006000000}"/>
    <hyperlink ref="AP1549" r:id="rId8" display="http://cdsbib.u-strasbg.fr/cgi-bin/cdsbib?1990RMxAA..21..381G" xr:uid="{00000000-0004-0000-0000-000007000000}"/>
    <hyperlink ref="I64723" r:id="rId9" display="http://vsolj.cetus-net.org/bulletin.html" xr:uid="{00000000-0004-0000-0000-000008000000}"/>
    <hyperlink ref="AQ1710" r:id="rId10" display="http://cdsbib.u-strasbg.fr/cgi-bin/cdsbib?1990RMxAA..21..381G" xr:uid="{00000000-0004-0000-0000-000009000000}"/>
    <hyperlink ref="AQ3354" r:id="rId11" display="http://cdsbib.u-strasbg.fr/cgi-bin/cdsbib?1990RMxAA..21..381G" xr:uid="{00000000-0004-0000-0000-00000A000000}"/>
    <hyperlink ref="AQ1711" r:id="rId12" display="http://cdsbib.u-strasbg.fr/cgi-bin/cdsbib?1990RMxAA..21..381G" xr:uid="{00000000-0004-0000-0000-00000B000000}"/>
    <hyperlink ref="H64720" r:id="rId13" display="https://www.aavso.org/ejaavso" xr:uid="{00000000-0004-0000-0000-00000C000000}"/>
    <hyperlink ref="H2561" r:id="rId14" display="http://vsolj.cetus-net.org/bulletin.html" xr:uid="{00000000-0004-0000-0000-00000D000000}"/>
    <hyperlink ref="AP5799" r:id="rId15" display="http://cdsbib.u-strasbg.fr/cgi-bin/cdsbib?1990RMxAA..21..381G" xr:uid="{00000000-0004-0000-0000-00000E000000}"/>
    <hyperlink ref="AP5802" r:id="rId16" display="http://cdsbib.u-strasbg.fr/cgi-bin/cdsbib?1990RMxAA..21..381G" xr:uid="{00000000-0004-0000-0000-00000F000000}"/>
    <hyperlink ref="AP5800" r:id="rId17" display="http://cdsbib.u-strasbg.fr/cgi-bin/cdsbib?1990RMxAA..21..381G" xr:uid="{00000000-0004-0000-0000-000010000000}"/>
    <hyperlink ref="AP5778" r:id="rId18" display="http://cdsbib.u-strasbg.fr/cgi-bin/cdsbib?1990RMxAA..21..381G" xr:uid="{00000000-0004-0000-0000-000011000000}"/>
    <hyperlink ref="I2561" r:id="rId19" display="http://vsolj.cetus-net.org/bulletin.html" xr:uid="{00000000-0004-0000-0000-000012000000}"/>
    <hyperlink ref="AQ5912" r:id="rId20" display="http://cdsbib.u-strasbg.fr/cgi-bin/cdsbib?1990RMxAA..21..381G" xr:uid="{00000000-0004-0000-0000-000013000000}"/>
    <hyperlink ref="AQ464" r:id="rId21" display="http://cdsbib.u-strasbg.fr/cgi-bin/cdsbib?1990RMxAA..21..381G" xr:uid="{00000000-0004-0000-0000-000014000000}"/>
    <hyperlink ref="AQ5913" r:id="rId22" display="http://cdsbib.u-strasbg.fr/cgi-bin/cdsbib?1990RMxAA..21..381G" xr:uid="{00000000-0004-0000-0000-000015000000}"/>
  </hyperlinks>
  <pageMargins left="0.75" right="0.75" top="1" bottom="1" header="0.5" footer="0.5"/>
  <pageSetup orientation="portrait" verticalDpi="0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0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35</v>
      </c>
    </row>
    <row r="2" spans="1:4">
      <c r="A2" t="s">
        <v>26</v>
      </c>
      <c r="B2" s="21" t="s">
        <v>40</v>
      </c>
      <c r="C2" s="20" t="s">
        <v>36</v>
      </c>
      <c r="D2" s="6"/>
    </row>
    <row r="3" spans="1:4" ht="13.5" thickBot="1"/>
    <row r="4" spans="1:4" ht="13.5" thickBot="1">
      <c r="A4" s="8" t="s">
        <v>1</v>
      </c>
      <c r="C4" s="18" t="s">
        <v>32</v>
      </c>
      <c r="D4" s="19" t="s">
        <v>32</v>
      </c>
    </row>
    <row r="6" spans="1:4">
      <c r="A6" s="8" t="s">
        <v>2</v>
      </c>
    </row>
    <row r="7" spans="1:4">
      <c r="A7" t="s">
        <v>3</v>
      </c>
      <c r="C7" s="17">
        <v>53862.519099999998</v>
      </c>
    </row>
    <row r="8" spans="1:4">
      <c r="A8" t="s">
        <v>4</v>
      </c>
      <c r="C8">
        <v>0.56894500000000003</v>
      </c>
    </row>
    <row r="10" spans="1:4" ht="13.5" thickBot="1">
      <c r="C10" s="7" t="s">
        <v>21</v>
      </c>
      <c r="D10" s="7" t="s">
        <v>22</v>
      </c>
    </row>
    <row r="11" spans="1:4">
      <c r="A11" t="s">
        <v>17</v>
      </c>
      <c r="C11">
        <f>INTERCEPT(G21:G999,$F21:$F999)</f>
        <v>-5.8685538986454067E-4</v>
      </c>
      <c r="D11" s="6"/>
    </row>
    <row r="12" spans="1:4">
      <c r="A12" t="s">
        <v>18</v>
      </c>
      <c r="C12">
        <f>SLOPE(G21:G999,$F21:$F999)</f>
        <v>-2.2139576987798651E-5</v>
      </c>
      <c r="D12" s="6"/>
    </row>
    <row r="13" spans="1:4">
      <c r="A13" t="s">
        <v>20</v>
      </c>
      <c r="C13" s="6" t="s">
        <v>15</v>
      </c>
      <c r="D13" s="6"/>
    </row>
    <row r="14" spans="1:4">
      <c r="A14" t="s">
        <v>25</v>
      </c>
    </row>
    <row r="15" spans="1:4">
      <c r="A15" s="3" t="s">
        <v>19</v>
      </c>
      <c r="C15" s="11">
        <f>($C$7+C$11)+($C$8+C$12)*INT(MAX($F21:$F3533))</f>
        <v>54515.641956910222</v>
      </c>
    </row>
    <row r="16" spans="1:4">
      <c r="A16" s="8" t="s">
        <v>5</v>
      </c>
      <c r="C16" s="12">
        <f>+$C$8+C$12</f>
        <v>0.56892286042301221</v>
      </c>
    </row>
    <row r="17" spans="1:17" ht="13.5" thickBot="1">
      <c r="A17" s="13" t="s">
        <v>33</v>
      </c>
      <c r="C17">
        <f>COUNT(C21:C2191)</f>
        <v>5</v>
      </c>
    </row>
    <row r="18" spans="1:17" ht="14.25" thickTop="1" thickBot="1">
      <c r="A18" s="8" t="s">
        <v>6</v>
      </c>
      <c r="C18" s="4">
        <f>+C15</f>
        <v>54515.641956910222</v>
      </c>
      <c r="D18" s="5">
        <f>+C16</f>
        <v>0.56892286042301221</v>
      </c>
    </row>
    <row r="19" spans="1:17" ht="13.5" thickTop="1">
      <c r="C19" s="17"/>
    </row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31</v>
      </c>
      <c r="J20" s="10" t="s">
        <v>42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16</v>
      </c>
    </row>
    <row r="21" spans="1:17">
      <c r="A21" s="15" t="s">
        <v>37</v>
      </c>
      <c r="B21" s="16" t="s">
        <v>38</v>
      </c>
      <c r="C21" s="14">
        <v>51223.857400000001</v>
      </c>
      <c r="D21" s="14">
        <v>1E-3</v>
      </c>
      <c r="E21">
        <f>+(C21-C$7)/C$8</f>
        <v>-4637.8150787861687</v>
      </c>
      <c r="F21">
        <f>ROUND(2*E21,0)/2</f>
        <v>-4638</v>
      </c>
      <c r="G21">
        <f>+C21-(C$7+F21*C$8)</f>
        <v>0.10521000000153435</v>
      </c>
      <c r="I21">
        <f>+G21</f>
        <v>0.10521000000153435</v>
      </c>
      <c r="O21">
        <f>+C$11+C$12*$F21</f>
        <v>0.10209650267954561</v>
      </c>
      <c r="Q21" s="2">
        <f>+C21-15018.5</f>
        <v>36205.357400000001</v>
      </c>
    </row>
    <row r="22" spans="1:17">
      <c r="A22" s="15" t="s">
        <v>37</v>
      </c>
      <c r="B22" s="6" t="s">
        <v>39</v>
      </c>
      <c r="C22" s="14">
        <v>51286.716999999997</v>
      </c>
      <c r="D22" s="14">
        <v>7.0000000000000001E-3</v>
      </c>
      <c r="E22">
        <f>+(C22-C$7)/C$8</f>
        <v>-4527.3305855574799</v>
      </c>
      <c r="F22">
        <f>ROUND(2*E22,0)/2</f>
        <v>-4527.5</v>
      </c>
      <c r="G22">
        <f>+C22-(C$7+F22*C$8)</f>
        <v>9.6387500001583248E-2</v>
      </c>
      <c r="I22">
        <f>+G22</f>
        <v>9.6387500001583248E-2</v>
      </c>
      <c r="O22">
        <f>+C$11+C$12*$F22</f>
        <v>9.9650079422393845E-2</v>
      </c>
      <c r="Q22" s="2">
        <f>+C22-15018.5</f>
        <v>36268.216999999997</v>
      </c>
    </row>
    <row r="23" spans="1:17">
      <c r="A23" s="15" t="s">
        <v>34</v>
      </c>
      <c r="B23" s="16"/>
      <c r="C23" s="17">
        <v>53862.519099999998</v>
      </c>
      <c r="D23" s="17">
        <v>1.8E-3</v>
      </c>
      <c r="E23">
        <f>+(C23-C$7)/C$8</f>
        <v>0</v>
      </c>
      <c r="F23">
        <f>ROUND(2*E23,0)/2</f>
        <v>0</v>
      </c>
      <c r="G23">
        <f>+C23-(C$7+F23*C$8)</f>
        <v>0</v>
      </c>
      <c r="H23">
        <f>+G23</f>
        <v>0</v>
      </c>
      <c r="O23">
        <f>+C$11+C$12*$F23</f>
        <v>-5.8685538986454067E-4</v>
      </c>
      <c r="Q23" s="2">
        <f>+C23-15018.5</f>
        <v>38844.019099999998</v>
      </c>
    </row>
    <row r="24" spans="1:17">
      <c r="A24" s="22" t="s">
        <v>41</v>
      </c>
      <c r="C24" s="14">
        <v>54209.845600000001</v>
      </c>
      <c r="D24" s="14">
        <v>5.0000000000000001E-4</v>
      </c>
      <c r="E24">
        <f>+(C24-C$7)/C$8</f>
        <v>610.47465044952116</v>
      </c>
      <c r="F24">
        <f>ROUND(2*E24,0)/2</f>
        <v>610.5</v>
      </c>
      <c r="G24">
        <f>+C24-(C$7+F24*C$8)</f>
        <v>-1.4422499996726401E-2</v>
      </c>
      <c r="J24">
        <f>+G24</f>
        <v>-1.4422499996726401E-2</v>
      </c>
      <c r="O24">
        <f>+C$11+C$12*$F24</f>
        <v>-1.4103067140915616E-2</v>
      </c>
      <c r="Q24" s="2">
        <f>+C24-15018.5</f>
        <v>39191.345600000001</v>
      </c>
    </row>
    <row r="25" spans="1:17">
      <c r="A25" s="22" t="s">
        <v>43</v>
      </c>
      <c r="C25" s="23">
        <v>54515.926299999999</v>
      </c>
      <c r="D25" s="14">
        <v>2.9999999999999997E-4</v>
      </c>
      <c r="E25">
        <f>+(C25-C$7)/C$8</f>
        <v>1148.4540684951999</v>
      </c>
      <c r="F25">
        <f>ROUND(2*E25,0)/2</f>
        <v>1148.5</v>
      </c>
      <c r="G25">
        <f>+C25-(C$7+F25*C$8)</f>
        <v>-2.6132499995583203E-2</v>
      </c>
      <c r="J25">
        <f>+G25</f>
        <v>-2.6132499995583203E-2</v>
      </c>
      <c r="O25">
        <f>+C$11+C$12*$F25</f>
        <v>-2.6014159560351292E-2</v>
      </c>
      <c r="Q25" s="2">
        <f>+C25-15018.5</f>
        <v>39497.426299999999</v>
      </c>
    </row>
    <row r="26" spans="1:17">
      <c r="C26" s="14"/>
      <c r="D26" s="14"/>
      <c r="Q26" s="2"/>
    </row>
    <row r="27" spans="1:17">
      <c r="C27" s="14"/>
      <c r="D27" s="14"/>
      <c r="Q27" s="2"/>
    </row>
    <row r="28" spans="1:17">
      <c r="C28" s="14"/>
      <c r="D28" s="14"/>
      <c r="Q28" s="2"/>
    </row>
    <row r="29" spans="1:17">
      <c r="C29" s="14"/>
      <c r="D29" s="14"/>
      <c r="Q29" s="2"/>
    </row>
    <row r="30" spans="1:17">
      <c r="C30" s="14"/>
      <c r="D30" s="14"/>
      <c r="Q30" s="2"/>
    </row>
    <row r="31" spans="1:17">
      <c r="C31" s="14"/>
      <c r="D31" s="14"/>
      <c r="Q31" s="2"/>
    </row>
    <row r="32" spans="1:17">
      <c r="C32" s="14"/>
      <c r="D32" s="14"/>
      <c r="Q32" s="2"/>
    </row>
    <row r="33" spans="3:17">
      <c r="C33" s="14"/>
      <c r="D33" s="14"/>
      <c r="Q33" s="2"/>
    </row>
    <row r="34" spans="3:17">
      <c r="C34" s="14"/>
      <c r="D34" s="14"/>
    </row>
    <row r="35" spans="3:17">
      <c r="C35" s="14"/>
      <c r="D35" s="14"/>
    </row>
    <row r="36" spans="3:17">
      <c r="C36" s="14"/>
      <c r="D36" s="14"/>
    </row>
    <row r="37" spans="3:17">
      <c r="C37" s="14"/>
      <c r="D37" s="14"/>
    </row>
    <row r="38" spans="3:17">
      <c r="C38" s="14"/>
      <c r="D38" s="14"/>
    </row>
    <row r="39" spans="3:17">
      <c r="C39" s="14"/>
      <c r="D39" s="14"/>
    </row>
    <row r="40" spans="3:17">
      <c r="C40" s="14"/>
      <c r="D40" s="14"/>
    </row>
    <row r="41" spans="3:17">
      <c r="C41" s="14"/>
      <c r="D41" s="14"/>
    </row>
    <row r="42" spans="3:17">
      <c r="C42" s="14"/>
      <c r="D42" s="14"/>
    </row>
    <row r="43" spans="3:17">
      <c r="C43" s="14"/>
      <c r="D43" s="14"/>
    </row>
    <row r="44" spans="3:17">
      <c r="C44" s="14"/>
      <c r="D44" s="14"/>
    </row>
    <row r="45" spans="3:17">
      <c r="C45" s="14"/>
      <c r="D45" s="14"/>
    </row>
    <row r="46" spans="3:17">
      <c r="C46" s="14"/>
      <c r="D46" s="14"/>
    </row>
    <row r="47" spans="3:17">
      <c r="C47" s="14"/>
      <c r="D47" s="14"/>
    </row>
    <row r="48" spans="3:17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</sheetData>
  <sheetProtection sheet="1" objects="1" scenarios="1"/>
  <phoneticPr fontId="8" type="noConversion"/>
  <hyperlinks>
    <hyperlink ref="C2" r:id="rId1" display="http://astro.u-strasbg.fr/cgi-bin/Dic-Simbad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06"/>
  <sheetViews>
    <sheetView workbookViewId="0">
      <selection activeCell="A23" sqref="A23:D26"/>
    </sheetView>
  </sheetViews>
  <sheetFormatPr defaultRowHeight="12.75"/>
  <cols>
    <col min="1" max="1" width="19.7109375" style="14" customWidth="1"/>
    <col min="2" max="2" width="4.42578125" style="25" customWidth="1"/>
    <col min="3" max="3" width="12.7109375" style="14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14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>
      <c r="A1" s="51" t="s">
        <v>62</v>
      </c>
      <c r="I1" s="52" t="s">
        <v>63</v>
      </c>
      <c r="J1" s="53" t="s">
        <v>64</v>
      </c>
    </row>
    <row r="2" spans="1:16">
      <c r="I2" s="54" t="s">
        <v>65</v>
      </c>
      <c r="J2" s="55" t="s">
        <v>66</v>
      </c>
    </row>
    <row r="3" spans="1:16">
      <c r="A3" s="56" t="s">
        <v>67</v>
      </c>
      <c r="I3" s="54" t="s">
        <v>68</v>
      </c>
      <c r="J3" s="55" t="s">
        <v>69</v>
      </c>
    </row>
    <row r="4" spans="1:16">
      <c r="I4" s="54" t="s">
        <v>70</v>
      </c>
      <c r="J4" s="55" t="s">
        <v>69</v>
      </c>
    </row>
    <row r="5" spans="1:16" ht="13.5" thickBot="1">
      <c r="I5" s="57" t="s">
        <v>71</v>
      </c>
      <c r="J5" s="58" t="s">
        <v>72</v>
      </c>
    </row>
    <row r="10" spans="1:16" ht="13.5" thickBot="1"/>
    <row r="11" spans="1:16" ht="12.75" customHeight="1" thickBot="1">
      <c r="A11" s="14" t="str">
        <f t="shared" ref="A11:A26" si="0">P11</f>
        <v>BAVM 178 </v>
      </c>
      <c r="B11" s="6" t="str">
        <f t="shared" ref="B11:B26" si="1">IF(H11=INT(H11),"I","II")</f>
        <v>I</v>
      </c>
      <c r="C11" s="14">
        <f t="shared" ref="C11:C26" si="2">1*G11</f>
        <v>53862.519099999998</v>
      </c>
      <c r="D11" s="25" t="str">
        <f t="shared" ref="D11:D26" si="3">VLOOKUP(F11,I$1:J$5,2,FALSE)</f>
        <v>vis</v>
      </c>
      <c r="E11" s="59">
        <f>VLOOKUP(C11,Active!C$21:E$973,3,FALSE)</f>
        <v>-1147.9989684798506</v>
      </c>
      <c r="F11" s="6" t="s">
        <v>71</v>
      </c>
      <c r="G11" s="25" t="str">
        <f t="shared" ref="G11:G26" si="4">MID(I11,3,LEN(I11)-3)</f>
        <v>53862.5191</v>
      </c>
      <c r="H11" s="14">
        <f t="shared" ref="H11:H26" si="5">1*K11</f>
        <v>2394</v>
      </c>
      <c r="I11" s="60" t="s">
        <v>73</v>
      </c>
      <c r="J11" s="61" t="s">
        <v>74</v>
      </c>
      <c r="K11" s="60">
        <v>2394</v>
      </c>
      <c r="L11" s="60" t="s">
        <v>75</v>
      </c>
      <c r="M11" s="61" t="s">
        <v>76</v>
      </c>
      <c r="N11" s="61" t="s">
        <v>77</v>
      </c>
      <c r="O11" s="62" t="s">
        <v>78</v>
      </c>
      <c r="P11" s="63" t="s">
        <v>79</v>
      </c>
    </row>
    <row r="12" spans="1:16" ht="12.75" customHeight="1" thickBot="1">
      <c r="A12" s="14" t="str">
        <f t="shared" si="0"/>
        <v>IBVS 5820 </v>
      </c>
      <c r="B12" s="6" t="str">
        <f t="shared" si="1"/>
        <v>II</v>
      </c>
      <c r="C12" s="14">
        <f t="shared" si="2"/>
        <v>54209.845600000001</v>
      </c>
      <c r="D12" s="25" t="str">
        <f t="shared" si="3"/>
        <v>vis</v>
      </c>
      <c r="E12" s="59">
        <f>VLOOKUP(C12,Active!C$21:E$973,3,FALSE)</f>
        <v>-537.50056146953193</v>
      </c>
      <c r="F12" s="6" t="s">
        <v>71</v>
      </c>
      <c r="G12" s="25" t="str">
        <f t="shared" si="4"/>
        <v>54209.8456</v>
      </c>
      <c r="H12" s="14">
        <f t="shared" si="5"/>
        <v>3004.5</v>
      </c>
      <c r="I12" s="60" t="s">
        <v>80</v>
      </c>
      <c r="J12" s="61" t="s">
        <v>81</v>
      </c>
      <c r="K12" s="60" t="s">
        <v>82</v>
      </c>
      <c r="L12" s="60" t="s">
        <v>83</v>
      </c>
      <c r="M12" s="61" t="s">
        <v>76</v>
      </c>
      <c r="N12" s="61" t="s">
        <v>84</v>
      </c>
      <c r="O12" s="62" t="s">
        <v>85</v>
      </c>
      <c r="P12" s="63" t="s">
        <v>86</v>
      </c>
    </row>
    <row r="13" spans="1:16" ht="12.75" customHeight="1" thickBot="1">
      <c r="A13" s="14" t="str">
        <f t="shared" si="0"/>
        <v>IBVS 5875 </v>
      </c>
      <c r="B13" s="6" t="str">
        <f t="shared" si="1"/>
        <v>II</v>
      </c>
      <c r="C13" s="14">
        <f t="shared" si="2"/>
        <v>54515.926299999999</v>
      </c>
      <c r="D13" s="25" t="str">
        <f t="shared" si="3"/>
        <v>vis</v>
      </c>
      <c r="E13" s="59">
        <f>VLOOKUP(C13,Active!C$21:E$973,3,FALSE)</f>
        <v>0.49979199212697495</v>
      </c>
      <c r="F13" s="6" t="s">
        <v>71</v>
      </c>
      <c r="G13" s="25" t="str">
        <f t="shared" si="4"/>
        <v>54515.9263</v>
      </c>
      <c r="H13" s="14">
        <f t="shared" si="5"/>
        <v>3542.5</v>
      </c>
      <c r="I13" s="60" t="s">
        <v>87</v>
      </c>
      <c r="J13" s="61" t="s">
        <v>88</v>
      </c>
      <c r="K13" s="60" t="s">
        <v>89</v>
      </c>
      <c r="L13" s="60" t="s">
        <v>90</v>
      </c>
      <c r="M13" s="61" t="s">
        <v>76</v>
      </c>
      <c r="N13" s="61" t="s">
        <v>84</v>
      </c>
      <c r="O13" s="62" t="s">
        <v>85</v>
      </c>
      <c r="P13" s="63" t="s">
        <v>91</v>
      </c>
    </row>
    <row r="14" spans="1:16" ht="12.75" customHeight="1" thickBot="1">
      <c r="A14" s="14" t="str">
        <f t="shared" si="0"/>
        <v>BAVM 201 </v>
      </c>
      <c r="B14" s="6" t="str">
        <f t="shared" si="1"/>
        <v>I</v>
      </c>
      <c r="C14" s="14">
        <f t="shared" si="2"/>
        <v>54596.4277</v>
      </c>
      <c r="D14" s="25" t="str">
        <f t="shared" si="3"/>
        <v>vis</v>
      </c>
      <c r="E14" s="59">
        <f>VLOOKUP(C14,Active!C$21:E$973,3,FALSE)</f>
        <v>141.99770954837646</v>
      </c>
      <c r="F14" s="6" t="s">
        <v>71</v>
      </c>
      <c r="G14" s="25" t="str">
        <f t="shared" si="4"/>
        <v>54596.4277</v>
      </c>
      <c r="H14" s="14">
        <f t="shared" si="5"/>
        <v>3684</v>
      </c>
      <c r="I14" s="60" t="s">
        <v>92</v>
      </c>
      <c r="J14" s="61" t="s">
        <v>93</v>
      </c>
      <c r="K14" s="60" t="s">
        <v>94</v>
      </c>
      <c r="L14" s="60" t="s">
        <v>95</v>
      </c>
      <c r="M14" s="61" t="s">
        <v>76</v>
      </c>
      <c r="N14" s="61" t="s">
        <v>77</v>
      </c>
      <c r="O14" s="62" t="s">
        <v>78</v>
      </c>
      <c r="P14" s="63" t="s">
        <v>96</v>
      </c>
    </row>
    <row r="15" spans="1:16" ht="12.75" customHeight="1" thickBot="1">
      <c r="A15" s="14" t="str">
        <f t="shared" si="0"/>
        <v>BAVM 214 </v>
      </c>
      <c r="B15" s="6" t="str">
        <f t="shared" si="1"/>
        <v>I</v>
      </c>
      <c r="C15" s="14">
        <f t="shared" si="2"/>
        <v>55314.410400000001</v>
      </c>
      <c r="D15" s="25" t="str">
        <f t="shared" si="3"/>
        <v>vis</v>
      </c>
      <c r="E15" s="59">
        <f>VLOOKUP(C15,Active!C$21:E$973,3,FALSE)</f>
        <v>1404.0013131057331</v>
      </c>
      <c r="F15" s="6" t="s">
        <v>71</v>
      </c>
      <c r="G15" s="25" t="str">
        <f t="shared" si="4"/>
        <v>55314.4104</v>
      </c>
      <c r="H15" s="14">
        <f t="shared" si="5"/>
        <v>4946</v>
      </c>
      <c r="I15" s="60" t="s">
        <v>97</v>
      </c>
      <c r="J15" s="61" t="s">
        <v>98</v>
      </c>
      <c r="K15" s="60" t="s">
        <v>99</v>
      </c>
      <c r="L15" s="60" t="s">
        <v>100</v>
      </c>
      <c r="M15" s="61" t="s">
        <v>76</v>
      </c>
      <c r="N15" s="61" t="s">
        <v>77</v>
      </c>
      <c r="O15" s="62" t="s">
        <v>78</v>
      </c>
      <c r="P15" s="63" t="s">
        <v>101</v>
      </c>
    </row>
    <row r="16" spans="1:16" ht="12.75" customHeight="1" thickBot="1">
      <c r="A16" s="14" t="str">
        <f t="shared" si="0"/>
        <v>BAVM 214 </v>
      </c>
      <c r="B16" s="6" t="str">
        <f t="shared" si="1"/>
        <v>II</v>
      </c>
      <c r="C16" s="14">
        <f t="shared" si="2"/>
        <v>55316.406999999999</v>
      </c>
      <c r="D16" s="25" t="str">
        <f t="shared" si="3"/>
        <v>vis</v>
      </c>
      <c r="E16" s="59">
        <f>VLOOKUP(C16,Active!C$21:E$973,3,FALSE)</f>
        <v>1407.5107519750275</v>
      </c>
      <c r="F16" s="6" t="s">
        <v>71</v>
      </c>
      <c r="G16" s="25" t="str">
        <f t="shared" si="4"/>
        <v>55316.4070</v>
      </c>
      <c r="H16" s="14">
        <f t="shared" si="5"/>
        <v>4949.5</v>
      </c>
      <c r="I16" s="60" t="s">
        <v>102</v>
      </c>
      <c r="J16" s="61" t="s">
        <v>103</v>
      </c>
      <c r="K16" s="60" t="s">
        <v>104</v>
      </c>
      <c r="L16" s="60" t="s">
        <v>105</v>
      </c>
      <c r="M16" s="61" t="s">
        <v>76</v>
      </c>
      <c r="N16" s="61" t="s">
        <v>77</v>
      </c>
      <c r="O16" s="62" t="s">
        <v>78</v>
      </c>
      <c r="P16" s="63" t="s">
        <v>101</v>
      </c>
    </row>
    <row r="17" spans="1:16" ht="12.75" customHeight="1" thickBot="1">
      <c r="A17" s="14" t="str">
        <f t="shared" si="0"/>
        <v>OEJV 0160 </v>
      </c>
      <c r="B17" s="6" t="str">
        <f t="shared" si="1"/>
        <v>II</v>
      </c>
      <c r="C17" s="14">
        <f t="shared" si="2"/>
        <v>55619.634510000004</v>
      </c>
      <c r="D17" s="25" t="str">
        <f t="shared" si="3"/>
        <v>vis</v>
      </c>
      <c r="E17" s="59">
        <f>VLOOKUP(C17,Active!C$21:E$973,3,FALSE)</f>
        <v>1940.4960318678848</v>
      </c>
      <c r="F17" s="6" t="s">
        <v>71</v>
      </c>
      <c r="G17" s="25" t="str">
        <f t="shared" si="4"/>
        <v>55619.63451</v>
      </c>
      <c r="H17" s="14">
        <f t="shared" si="5"/>
        <v>5482.5</v>
      </c>
      <c r="I17" s="60" t="s">
        <v>106</v>
      </c>
      <c r="J17" s="61" t="s">
        <v>107</v>
      </c>
      <c r="K17" s="60" t="s">
        <v>108</v>
      </c>
      <c r="L17" s="60" t="s">
        <v>109</v>
      </c>
      <c r="M17" s="61" t="s">
        <v>76</v>
      </c>
      <c r="N17" s="61" t="s">
        <v>84</v>
      </c>
      <c r="O17" s="62" t="s">
        <v>110</v>
      </c>
      <c r="P17" s="63" t="s">
        <v>111</v>
      </c>
    </row>
    <row r="18" spans="1:16" ht="12.75" customHeight="1" thickBot="1">
      <c r="A18" s="14" t="str">
        <f t="shared" si="0"/>
        <v>OEJV 0160 </v>
      </c>
      <c r="B18" s="6" t="str">
        <f t="shared" si="1"/>
        <v>I</v>
      </c>
      <c r="C18" s="14">
        <f t="shared" si="2"/>
        <v>55649.504070000003</v>
      </c>
      <c r="D18" s="25" t="str">
        <f t="shared" si="3"/>
        <v>vis</v>
      </c>
      <c r="E18" s="59">
        <f>VLOOKUP(C18,Active!C$21:E$973,3,FALSE)</f>
        <v>1992.9979826205586</v>
      </c>
      <c r="F18" s="6" t="s">
        <v>71</v>
      </c>
      <c r="G18" s="25" t="str">
        <f t="shared" si="4"/>
        <v>55649.50407</v>
      </c>
      <c r="H18" s="14">
        <f t="shared" si="5"/>
        <v>5535</v>
      </c>
      <c r="I18" s="60" t="s">
        <v>112</v>
      </c>
      <c r="J18" s="61" t="s">
        <v>113</v>
      </c>
      <c r="K18" s="60" t="s">
        <v>114</v>
      </c>
      <c r="L18" s="60" t="s">
        <v>115</v>
      </c>
      <c r="M18" s="61" t="s">
        <v>76</v>
      </c>
      <c r="N18" s="61" t="s">
        <v>84</v>
      </c>
      <c r="O18" s="62" t="s">
        <v>110</v>
      </c>
      <c r="P18" s="63" t="s">
        <v>111</v>
      </c>
    </row>
    <row r="19" spans="1:16" ht="12.75" customHeight="1" thickBot="1">
      <c r="A19" s="14" t="str">
        <f t="shared" si="0"/>
        <v>BAVM 234 </v>
      </c>
      <c r="B19" s="6" t="str">
        <f t="shared" si="1"/>
        <v>I</v>
      </c>
      <c r="C19" s="14">
        <f t="shared" si="2"/>
        <v>55943.635900000001</v>
      </c>
      <c r="D19" s="25" t="str">
        <f t="shared" si="3"/>
        <v>vis</v>
      </c>
      <c r="E19" s="59">
        <f>VLOOKUP(C19,Active!C$21:E$973,3,FALSE)</f>
        <v>2509.995717219063</v>
      </c>
      <c r="F19" s="6" t="s">
        <v>71</v>
      </c>
      <c r="G19" s="25" t="str">
        <f t="shared" si="4"/>
        <v>55943.6359</v>
      </c>
      <c r="H19" s="14">
        <f t="shared" si="5"/>
        <v>6052</v>
      </c>
      <c r="I19" s="60" t="s">
        <v>121</v>
      </c>
      <c r="J19" s="61" t="s">
        <v>122</v>
      </c>
      <c r="K19" s="60" t="s">
        <v>123</v>
      </c>
      <c r="L19" s="60" t="s">
        <v>124</v>
      </c>
      <c r="M19" s="61" t="s">
        <v>76</v>
      </c>
      <c r="N19" s="61" t="s">
        <v>125</v>
      </c>
      <c r="O19" s="62" t="s">
        <v>126</v>
      </c>
      <c r="P19" s="63" t="s">
        <v>127</v>
      </c>
    </row>
    <row r="20" spans="1:16" ht="12.75" customHeight="1" thickBot="1">
      <c r="A20" s="14" t="str">
        <f t="shared" si="0"/>
        <v>BAVM 228 </v>
      </c>
      <c r="B20" s="6" t="str">
        <f t="shared" si="1"/>
        <v>I</v>
      </c>
      <c r="C20" s="14">
        <f t="shared" si="2"/>
        <v>56012.476499999997</v>
      </c>
      <c r="D20" s="25" t="str">
        <f t="shared" si="3"/>
        <v>vis</v>
      </c>
      <c r="E20" s="59">
        <f>VLOOKUP(C20,Active!C$21:E$973,3,FALSE)</f>
        <v>2630.9973587224658</v>
      </c>
      <c r="F20" s="6" t="s">
        <v>71</v>
      </c>
      <c r="G20" s="25" t="str">
        <f t="shared" si="4"/>
        <v>56012.4765</v>
      </c>
      <c r="H20" s="14">
        <f t="shared" si="5"/>
        <v>6173</v>
      </c>
      <c r="I20" s="60" t="s">
        <v>128</v>
      </c>
      <c r="J20" s="61" t="s">
        <v>129</v>
      </c>
      <c r="K20" s="60" t="s">
        <v>130</v>
      </c>
      <c r="L20" s="60" t="s">
        <v>131</v>
      </c>
      <c r="M20" s="61" t="s">
        <v>76</v>
      </c>
      <c r="N20" s="61" t="s">
        <v>125</v>
      </c>
      <c r="O20" s="62" t="s">
        <v>126</v>
      </c>
      <c r="P20" s="63" t="s">
        <v>132</v>
      </c>
    </row>
    <row r="21" spans="1:16" ht="12.75" customHeight="1" thickBot="1">
      <c r="A21" s="14" t="str">
        <f t="shared" si="0"/>
        <v>BAVM 238 </v>
      </c>
      <c r="B21" s="6" t="str">
        <f t="shared" si="1"/>
        <v>I</v>
      </c>
      <c r="C21" s="14">
        <f t="shared" si="2"/>
        <v>56746.387699999999</v>
      </c>
      <c r="D21" s="25" t="str">
        <f t="shared" si="3"/>
        <v>vis</v>
      </c>
      <c r="E21" s="59">
        <f>VLOOKUP(C21,Active!C$21:E$973,3,FALSE)</f>
        <v>3920.9986067902901</v>
      </c>
      <c r="F21" s="6" t="s">
        <v>71</v>
      </c>
      <c r="G21" s="25" t="str">
        <f t="shared" si="4"/>
        <v>56746.3877</v>
      </c>
      <c r="H21" s="14">
        <f t="shared" si="5"/>
        <v>7463</v>
      </c>
      <c r="I21" s="60" t="s">
        <v>139</v>
      </c>
      <c r="J21" s="61" t="s">
        <v>140</v>
      </c>
      <c r="K21" s="60" t="s">
        <v>141</v>
      </c>
      <c r="L21" s="60" t="s">
        <v>142</v>
      </c>
      <c r="M21" s="61" t="s">
        <v>76</v>
      </c>
      <c r="N21" s="61" t="s">
        <v>77</v>
      </c>
      <c r="O21" s="62" t="s">
        <v>78</v>
      </c>
      <c r="P21" s="63" t="s">
        <v>143</v>
      </c>
    </row>
    <row r="22" spans="1:16" ht="12.75" customHeight="1" thickBot="1">
      <c r="A22" s="14" t="str">
        <f t="shared" si="0"/>
        <v>BAVM 238 </v>
      </c>
      <c r="B22" s="6" t="str">
        <f t="shared" si="1"/>
        <v>II</v>
      </c>
      <c r="C22" s="14">
        <f t="shared" si="2"/>
        <v>56798.442900000002</v>
      </c>
      <c r="D22" s="25" t="str">
        <f t="shared" si="3"/>
        <v>vis</v>
      </c>
      <c r="E22" s="59">
        <f>VLOOKUP(C22,Active!C$21:E$973,3,FALSE)</f>
        <v>4012.496424194389</v>
      </c>
      <c r="F22" s="6" t="s">
        <v>71</v>
      </c>
      <c r="G22" s="25" t="str">
        <f t="shared" si="4"/>
        <v>56798.4429</v>
      </c>
      <c r="H22" s="14">
        <f t="shared" si="5"/>
        <v>7554.5</v>
      </c>
      <c r="I22" s="60" t="s">
        <v>144</v>
      </c>
      <c r="J22" s="61" t="s">
        <v>145</v>
      </c>
      <c r="K22" s="60" t="s">
        <v>146</v>
      </c>
      <c r="L22" s="60" t="s">
        <v>147</v>
      </c>
      <c r="M22" s="61" t="s">
        <v>76</v>
      </c>
      <c r="N22" s="61" t="s">
        <v>77</v>
      </c>
      <c r="O22" s="62" t="s">
        <v>78</v>
      </c>
      <c r="P22" s="63" t="s">
        <v>143</v>
      </c>
    </row>
    <row r="23" spans="1:16" ht="12.75" customHeight="1" thickBot="1">
      <c r="A23" s="14" t="str">
        <f t="shared" si="0"/>
        <v>IBVS 6050 </v>
      </c>
      <c r="B23" s="6" t="str">
        <f t="shared" si="1"/>
        <v>I</v>
      </c>
      <c r="C23" s="14">
        <f t="shared" si="2"/>
        <v>55937.944589999999</v>
      </c>
      <c r="D23" s="25" t="str">
        <f t="shared" si="3"/>
        <v>vis</v>
      </c>
      <c r="E23" s="59">
        <f>VLOOKUP(C23,Active!C$21:E$973,3,FALSE)</f>
        <v>2499.9920587340262</v>
      </c>
      <c r="F23" s="6" t="s">
        <v>71</v>
      </c>
      <c r="G23" s="25" t="str">
        <f t="shared" si="4"/>
        <v>55937.94459</v>
      </c>
      <c r="H23" s="14">
        <f t="shared" si="5"/>
        <v>6042</v>
      </c>
      <c r="I23" s="60" t="s">
        <v>116</v>
      </c>
      <c r="J23" s="61" t="s">
        <v>117</v>
      </c>
      <c r="K23" s="60" t="s">
        <v>118</v>
      </c>
      <c r="L23" s="60" t="s">
        <v>119</v>
      </c>
      <c r="M23" s="61" t="s">
        <v>76</v>
      </c>
      <c r="N23" s="61" t="s">
        <v>63</v>
      </c>
      <c r="O23" s="62" t="s">
        <v>85</v>
      </c>
      <c r="P23" s="63" t="s">
        <v>120</v>
      </c>
    </row>
    <row r="24" spans="1:16" ht="12.75" customHeight="1" thickBot="1">
      <c r="A24" s="14" t="str">
        <f t="shared" si="0"/>
        <v>OEJV 0162 </v>
      </c>
      <c r="B24" s="6" t="str">
        <f t="shared" si="1"/>
        <v>I</v>
      </c>
      <c r="C24" s="14">
        <f t="shared" si="2"/>
        <v>56374.866999999998</v>
      </c>
      <c r="D24" s="25" t="str">
        <f t="shared" si="3"/>
        <v>vis</v>
      </c>
      <c r="E24" s="59">
        <f>VLOOKUP(C24,Active!C$21:E$973,3,FALSE)</f>
        <v>3267.9738720771102</v>
      </c>
      <c r="F24" s="6" t="s">
        <v>71</v>
      </c>
      <c r="G24" s="25" t="str">
        <f t="shared" si="4"/>
        <v>56374.867</v>
      </c>
      <c r="H24" s="14">
        <f t="shared" si="5"/>
        <v>6810</v>
      </c>
      <c r="I24" s="60" t="s">
        <v>133</v>
      </c>
      <c r="J24" s="61" t="s">
        <v>134</v>
      </c>
      <c r="K24" s="60" t="s">
        <v>135</v>
      </c>
      <c r="L24" s="60" t="s">
        <v>136</v>
      </c>
      <c r="M24" s="61" t="s">
        <v>76</v>
      </c>
      <c r="N24" s="61" t="s">
        <v>125</v>
      </c>
      <c r="O24" s="62" t="s">
        <v>137</v>
      </c>
      <c r="P24" s="63" t="s">
        <v>138</v>
      </c>
    </row>
    <row r="25" spans="1:16" ht="12.75" customHeight="1" thickBot="1">
      <c r="A25" s="14" t="str">
        <f t="shared" si="0"/>
        <v>BAVM 241 (=IBVS 6157) </v>
      </c>
      <c r="B25" s="6" t="str">
        <f t="shared" si="1"/>
        <v>I</v>
      </c>
      <c r="C25" s="14">
        <f t="shared" si="2"/>
        <v>57106.512300000002</v>
      </c>
      <c r="D25" s="25" t="str">
        <f t="shared" si="3"/>
        <v>vis</v>
      </c>
      <c r="E25" s="59">
        <f>VLOOKUP(C25,Active!C$21:E$973,3,FALSE)</f>
        <v>4553.9923306358014</v>
      </c>
      <c r="F25" s="6" t="s">
        <v>71</v>
      </c>
      <c r="G25" s="25" t="str">
        <f t="shared" si="4"/>
        <v>57106.5123</v>
      </c>
      <c r="H25" s="14">
        <f t="shared" si="5"/>
        <v>8096</v>
      </c>
      <c r="I25" s="60" t="s">
        <v>148</v>
      </c>
      <c r="J25" s="61" t="s">
        <v>149</v>
      </c>
      <c r="K25" s="60" t="s">
        <v>150</v>
      </c>
      <c r="L25" s="60" t="s">
        <v>151</v>
      </c>
      <c r="M25" s="61" t="s">
        <v>76</v>
      </c>
      <c r="N25" s="61" t="s">
        <v>77</v>
      </c>
      <c r="O25" s="62" t="s">
        <v>78</v>
      </c>
      <c r="P25" s="63" t="s">
        <v>152</v>
      </c>
    </row>
    <row r="26" spans="1:16" ht="12.75" customHeight="1" thickBot="1">
      <c r="A26" s="14" t="str">
        <f t="shared" si="0"/>
        <v>BAVM 241 (=IBVS 6157) </v>
      </c>
      <c r="B26" s="6" t="str">
        <f t="shared" si="1"/>
        <v>I</v>
      </c>
      <c r="C26" s="14">
        <f t="shared" si="2"/>
        <v>57130.408799999997</v>
      </c>
      <c r="D26" s="25" t="str">
        <f t="shared" si="3"/>
        <v>vis</v>
      </c>
      <c r="E26" s="59">
        <f>VLOOKUP(C26,Active!C$21:E$973,3,FALSE)</f>
        <v>4595.9953888047557</v>
      </c>
      <c r="F26" s="6" t="s">
        <v>71</v>
      </c>
      <c r="G26" s="25" t="str">
        <f t="shared" si="4"/>
        <v>57130.4088</v>
      </c>
      <c r="H26" s="14">
        <f t="shared" si="5"/>
        <v>8138</v>
      </c>
      <c r="I26" s="60" t="s">
        <v>153</v>
      </c>
      <c r="J26" s="61" t="s">
        <v>154</v>
      </c>
      <c r="K26" s="60" t="s">
        <v>155</v>
      </c>
      <c r="L26" s="60" t="s">
        <v>156</v>
      </c>
      <c r="M26" s="61" t="s">
        <v>76</v>
      </c>
      <c r="N26" s="61" t="s">
        <v>125</v>
      </c>
      <c r="O26" s="62" t="s">
        <v>126</v>
      </c>
      <c r="P26" s="63" t="s">
        <v>152</v>
      </c>
    </row>
    <row r="27" spans="1:16">
      <c r="B27" s="6"/>
      <c r="E27" s="59"/>
      <c r="F27" s="6"/>
    </row>
    <row r="28" spans="1:16">
      <c r="B28" s="6"/>
      <c r="E28" s="59"/>
      <c r="F28" s="6"/>
    </row>
    <row r="29" spans="1:16">
      <c r="B29" s="6"/>
      <c r="E29" s="59"/>
      <c r="F29" s="6"/>
    </row>
    <row r="30" spans="1:16">
      <c r="B30" s="6"/>
      <c r="E30" s="59"/>
      <c r="F30" s="6"/>
    </row>
    <row r="31" spans="1:16">
      <c r="B31" s="6"/>
      <c r="E31" s="59"/>
      <c r="F31" s="6"/>
    </row>
    <row r="32" spans="1:16">
      <c r="B32" s="6"/>
      <c r="E32" s="59"/>
      <c r="F32" s="6"/>
    </row>
    <row r="33" spans="2:6">
      <c r="B33" s="6"/>
      <c r="E33" s="59"/>
      <c r="F33" s="6"/>
    </row>
    <row r="34" spans="2:6">
      <c r="B34" s="6"/>
      <c r="E34" s="59"/>
      <c r="F34" s="6"/>
    </row>
    <row r="35" spans="2:6">
      <c r="B35" s="6"/>
      <c r="E35" s="59"/>
      <c r="F35" s="6"/>
    </row>
    <row r="36" spans="2:6">
      <c r="B36" s="6"/>
      <c r="E36" s="59"/>
      <c r="F36" s="6"/>
    </row>
    <row r="37" spans="2:6">
      <c r="B37" s="6"/>
      <c r="E37" s="59"/>
      <c r="F37" s="6"/>
    </row>
    <row r="38" spans="2:6">
      <c r="B38" s="6"/>
      <c r="E38" s="59"/>
      <c r="F38" s="6"/>
    </row>
    <row r="39" spans="2:6">
      <c r="B39" s="6"/>
      <c r="E39" s="59"/>
      <c r="F39" s="6"/>
    </row>
    <row r="40" spans="2:6">
      <c r="B40" s="6"/>
      <c r="E40" s="59"/>
      <c r="F40" s="6"/>
    </row>
    <row r="41" spans="2:6">
      <c r="B41" s="6"/>
      <c r="E41" s="59"/>
      <c r="F41" s="6"/>
    </row>
    <row r="42" spans="2:6">
      <c r="B42" s="6"/>
      <c r="E42" s="59"/>
      <c r="F42" s="6"/>
    </row>
    <row r="43" spans="2:6">
      <c r="B43" s="6"/>
      <c r="E43" s="59"/>
      <c r="F43" s="6"/>
    </row>
    <row r="44" spans="2:6">
      <c r="B44" s="6"/>
      <c r="E44" s="59"/>
      <c r="F44" s="6"/>
    </row>
    <row r="45" spans="2:6">
      <c r="B45" s="6"/>
      <c r="E45" s="59"/>
      <c r="F45" s="6"/>
    </row>
    <row r="46" spans="2:6">
      <c r="B46" s="6"/>
      <c r="E46" s="59"/>
      <c r="F46" s="6"/>
    </row>
    <row r="47" spans="2:6">
      <c r="B47" s="6"/>
      <c r="E47" s="59"/>
      <c r="F47" s="6"/>
    </row>
    <row r="48" spans="2:6">
      <c r="B48" s="6"/>
      <c r="E48" s="59"/>
      <c r="F48" s="6"/>
    </row>
    <row r="49" spans="2:6">
      <c r="B49" s="6"/>
      <c r="E49" s="59"/>
      <c r="F49" s="6"/>
    </row>
    <row r="50" spans="2:6">
      <c r="B50" s="6"/>
      <c r="E50" s="59"/>
      <c r="F50" s="6"/>
    </row>
    <row r="51" spans="2:6">
      <c r="B51" s="6"/>
      <c r="E51" s="59"/>
      <c r="F51" s="6"/>
    </row>
    <row r="52" spans="2:6">
      <c r="B52" s="6"/>
      <c r="E52" s="59"/>
      <c r="F52" s="6"/>
    </row>
    <row r="53" spans="2:6">
      <c r="B53" s="6"/>
      <c r="E53" s="59"/>
      <c r="F53" s="6"/>
    </row>
    <row r="54" spans="2:6">
      <c r="B54" s="6"/>
      <c r="E54" s="59"/>
      <c r="F54" s="6"/>
    </row>
    <row r="55" spans="2:6">
      <c r="B55" s="6"/>
      <c r="E55" s="59"/>
      <c r="F55" s="6"/>
    </row>
    <row r="56" spans="2:6">
      <c r="B56" s="6"/>
      <c r="E56" s="59"/>
      <c r="F56" s="6"/>
    </row>
    <row r="57" spans="2:6">
      <c r="B57" s="6"/>
      <c r="E57" s="59"/>
      <c r="F57" s="6"/>
    </row>
    <row r="58" spans="2:6">
      <c r="B58" s="6"/>
      <c r="E58" s="59"/>
      <c r="F58" s="6"/>
    </row>
    <row r="59" spans="2:6">
      <c r="B59" s="6"/>
      <c r="E59" s="59"/>
      <c r="F59" s="6"/>
    </row>
    <row r="60" spans="2:6">
      <c r="B60" s="6"/>
      <c r="E60" s="59"/>
      <c r="F60" s="6"/>
    </row>
    <row r="61" spans="2:6">
      <c r="B61" s="6"/>
      <c r="E61" s="59"/>
      <c r="F61" s="6"/>
    </row>
    <row r="62" spans="2:6">
      <c r="B62" s="6"/>
      <c r="E62" s="59"/>
      <c r="F62" s="6"/>
    </row>
    <row r="63" spans="2:6">
      <c r="B63" s="6"/>
      <c r="E63" s="59"/>
      <c r="F63" s="6"/>
    </row>
    <row r="64" spans="2:6">
      <c r="B64" s="6"/>
      <c r="E64" s="59"/>
      <c r="F64" s="6"/>
    </row>
    <row r="65" spans="2:6">
      <c r="B65" s="6"/>
      <c r="E65" s="59"/>
      <c r="F65" s="6"/>
    </row>
    <row r="66" spans="2:6">
      <c r="B66" s="6"/>
      <c r="E66" s="59"/>
      <c r="F66" s="6"/>
    </row>
    <row r="67" spans="2:6">
      <c r="B67" s="6"/>
      <c r="E67" s="59"/>
      <c r="F67" s="6"/>
    </row>
    <row r="68" spans="2:6">
      <c r="B68" s="6"/>
      <c r="E68" s="59"/>
      <c r="F68" s="6"/>
    </row>
    <row r="69" spans="2:6">
      <c r="B69" s="6"/>
      <c r="E69" s="59"/>
      <c r="F69" s="6"/>
    </row>
    <row r="70" spans="2:6">
      <c r="B70" s="6"/>
      <c r="E70" s="59"/>
      <c r="F70" s="6"/>
    </row>
    <row r="71" spans="2:6">
      <c r="B71" s="6"/>
      <c r="E71" s="59"/>
      <c r="F71" s="6"/>
    </row>
    <row r="72" spans="2:6">
      <c r="B72" s="6"/>
      <c r="E72" s="59"/>
      <c r="F72" s="6"/>
    </row>
    <row r="73" spans="2:6">
      <c r="B73" s="6"/>
      <c r="E73" s="59"/>
      <c r="F73" s="6"/>
    </row>
    <row r="74" spans="2:6">
      <c r="B74" s="6"/>
      <c r="E74" s="59"/>
      <c r="F74" s="6"/>
    </row>
    <row r="75" spans="2:6">
      <c r="B75" s="6"/>
      <c r="E75" s="59"/>
      <c r="F75" s="6"/>
    </row>
    <row r="76" spans="2:6">
      <c r="B76" s="6"/>
      <c r="E76" s="59"/>
      <c r="F76" s="6"/>
    </row>
    <row r="77" spans="2:6">
      <c r="B77" s="6"/>
      <c r="E77" s="59"/>
      <c r="F77" s="6"/>
    </row>
    <row r="78" spans="2:6">
      <c r="B78" s="6"/>
      <c r="E78" s="59"/>
      <c r="F78" s="6"/>
    </row>
    <row r="79" spans="2:6">
      <c r="B79" s="6"/>
      <c r="E79" s="59"/>
      <c r="F79" s="6"/>
    </row>
    <row r="80" spans="2:6">
      <c r="B80" s="6"/>
      <c r="E80" s="59"/>
      <c r="F80" s="6"/>
    </row>
    <row r="81" spans="2:6">
      <c r="B81" s="6"/>
      <c r="E81" s="59"/>
      <c r="F81" s="6"/>
    </row>
    <row r="82" spans="2:6">
      <c r="B82" s="6"/>
      <c r="E82" s="59"/>
      <c r="F82" s="6"/>
    </row>
    <row r="83" spans="2:6">
      <c r="B83" s="6"/>
      <c r="E83" s="59"/>
      <c r="F83" s="6"/>
    </row>
    <row r="84" spans="2:6">
      <c r="B84" s="6"/>
      <c r="E84" s="59"/>
      <c r="F84" s="6"/>
    </row>
    <row r="85" spans="2:6">
      <c r="B85" s="6"/>
      <c r="E85" s="59"/>
      <c r="F85" s="6"/>
    </row>
    <row r="86" spans="2:6">
      <c r="B86" s="6"/>
      <c r="E86" s="59"/>
      <c r="F86" s="6"/>
    </row>
    <row r="87" spans="2:6">
      <c r="B87" s="6"/>
      <c r="E87" s="59"/>
      <c r="F87" s="6"/>
    </row>
    <row r="88" spans="2:6">
      <c r="B88" s="6"/>
      <c r="E88" s="59"/>
      <c r="F88" s="6"/>
    </row>
    <row r="89" spans="2:6">
      <c r="B89" s="6"/>
      <c r="E89" s="59"/>
      <c r="F89" s="6"/>
    </row>
    <row r="90" spans="2:6">
      <c r="B90" s="6"/>
      <c r="E90" s="59"/>
      <c r="F90" s="6"/>
    </row>
    <row r="91" spans="2:6">
      <c r="B91" s="6"/>
      <c r="E91" s="59"/>
      <c r="F91" s="6"/>
    </row>
    <row r="92" spans="2:6">
      <c r="B92" s="6"/>
      <c r="E92" s="59"/>
      <c r="F92" s="6"/>
    </row>
    <row r="93" spans="2:6">
      <c r="B93" s="6"/>
      <c r="E93" s="59"/>
      <c r="F93" s="6"/>
    </row>
    <row r="94" spans="2:6">
      <c r="B94" s="6"/>
      <c r="E94" s="59"/>
      <c r="F94" s="6"/>
    </row>
    <row r="95" spans="2:6">
      <c r="B95" s="6"/>
      <c r="E95" s="59"/>
      <c r="F95" s="6"/>
    </row>
    <row r="96" spans="2:6">
      <c r="B96" s="6"/>
      <c r="E96" s="59"/>
      <c r="F96" s="6"/>
    </row>
    <row r="97" spans="2:6">
      <c r="B97" s="6"/>
      <c r="E97" s="59"/>
      <c r="F97" s="6"/>
    </row>
    <row r="98" spans="2:6">
      <c r="B98" s="6"/>
      <c r="E98" s="59"/>
      <c r="F98" s="6"/>
    </row>
    <row r="99" spans="2:6">
      <c r="B99" s="6"/>
      <c r="E99" s="59"/>
      <c r="F99" s="6"/>
    </row>
    <row r="100" spans="2:6">
      <c r="B100" s="6"/>
      <c r="E100" s="59"/>
      <c r="F100" s="6"/>
    </row>
    <row r="101" spans="2:6">
      <c r="B101" s="6"/>
      <c r="E101" s="59"/>
      <c r="F101" s="6"/>
    </row>
    <row r="102" spans="2:6">
      <c r="B102" s="6"/>
      <c r="E102" s="59"/>
      <c r="F102" s="6"/>
    </row>
    <row r="103" spans="2:6">
      <c r="B103" s="6"/>
      <c r="E103" s="59"/>
      <c r="F103" s="6"/>
    </row>
    <row r="104" spans="2:6">
      <c r="B104" s="6"/>
      <c r="E104" s="59"/>
      <c r="F104" s="6"/>
    </row>
    <row r="105" spans="2:6">
      <c r="B105" s="6"/>
      <c r="E105" s="59"/>
      <c r="F105" s="6"/>
    </row>
    <row r="106" spans="2:6">
      <c r="B106" s="6"/>
      <c r="E106" s="59"/>
      <c r="F106" s="6"/>
    </row>
    <row r="107" spans="2:6">
      <c r="B107" s="6"/>
      <c r="E107" s="59"/>
      <c r="F107" s="6"/>
    </row>
    <row r="108" spans="2:6">
      <c r="B108" s="6"/>
      <c r="E108" s="59"/>
      <c r="F108" s="6"/>
    </row>
    <row r="109" spans="2:6">
      <c r="B109" s="6"/>
      <c r="E109" s="59"/>
      <c r="F109" s="6"/>
    </row>
    <row r="110" spans="2:6">
      <c r="B110" s="6"/>
      <c r="E110" s="59"/>
      <c r="F110" s="6"/>
    </row>
    <row r="111" spans="2:6">
      <c r="B111" s="6"/>
      <c r="E111" s="59"/>
      <c r="F111" s="6"/>
    </row>
    <row r="112" spans="2:6">
      <c r="B112" s="6"/>
      <c r="E112" s="59"/>
      <c r="F112" s="6"/>
    </row>
    <row r="113" spans="2:6">
      <c r="B113" s="6"/>
      <c r="E113" s="59"/>
      <c r="F113" s="6"/>
    </row>
    <row r="114" spans="2:6">
      <c r="B114" s="6"/>
      <c r="E114" s="59"/>
      <c r="F114" s="6"/>
    </row>
    <row r="115" spans="2:6">
      <c r="B115" s="6"/>
      <c r="E115" s="59"/>
      <c r="F115" s="6"/>
    </row>
    <row r="116" spans="2:6">
      <c r="B116" s="6"/>
      <c r="E116" s="59"/>
      <c r="F116" s="6"/>
    </row>
    <row r="117" spans="2:6">
      <c r="B117" s="6"/>
      <c r="E117" s="59"/>
      <c r="F117" s="6"/>
    </row>
    <row r="118" spans="2:6">
      <c r="B118" s="6"/>
      <c r="E118" s="59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</sheetData>
  <phoneticPr fontId="8" type="noConversion"/>
  <hyperlinks>
    <hyperlink ref="A3" r:id="rId1" xr:uid="{00000000-0004-0000-0200-000000000000}"/>
    <hyperlink ref="P11" r:id="rId2" display="http://www.bav-astro.de/sfs/BAVM_link.php?BAVMnr=178" xr:uid="{00000000-0004-0000-0200-000001000000}"/>
    <hyperlink ref="P12" r:id="rId3" display="http://www.konkoly.hu/cgi-bin/IBVS?5820" xr:uid="{00000000-0004-0000-0200-000002000000}"/>
    <hyperlink ref="P13" r:id="rId4" display="http://www.konkoly.hu/cgi-bin/IBVS?5875" xr:uid="{00000000-0004-0000-0200-000003000000}"/>
    <hyperlink ref="P14" r:id="rId5" display="http://www.bav-astro.de/sfs/BAVM_link.php?BAVMnr=201" xr:uid="{00000000-0004-0000-0200-000004000000}"/>
    <hyperlink ref="P15" r:id="rId6" display="http://www.bav-astro.de/sfs/BAVM_link.php?BAVMnr=214" xr:uid="{00000000-0004-0000-0200-000005000000}"/>
    <hyperlink ref="P16" r:id="rId7" display="http://www.bav-astro.de/sfs/BAVM_link.php?BAVMnr=214" xr:uid="{00000000-0004-0000-0200-000006000000}"/>
    <hyperlink ref="P17" r:id="rId8" display="http://var.astro.cz/oejv/issues/oejv0160.pdf" xr:uid="{00000000-0004-0000-0200-000007000000}"/>
    <hyperlink ref="P18" r:id="rId9" display="http://var.astro.cz/oejv/issues/oejv0160.pdf" xr:uid="{00000000-0004-0000-0200-000008000000}"/>
    <hyperlink ref="P23" r:id="rId10" display="http://www.konkoly.hu/cgi-bin/IBVS?6050" xr:uid="{00000000-0004-0000-0200-000009000000}"/>
    <hyperlink ref="P19" r:id="rId11" display="http://www.bav-astro.de/sfs/BAVM_link.php?BAVMnr=234" xr:uid="{00000000-0004-0000-0200-00000A000000}"/>
    <hyperlink ref="P20" r:id="rId12" display="http://www.bav-astro.de/sfs/BAVM_link.php?BAVMnr=228" xr:uid="{00000000-0004-0000-0200-00000B000000}"/>
    <hyperlink ref="P24" r:id="rId13" display="http://var.astro.cz/oejv/issues/oejv0162.pdf" xr:uid="{00000000-0004-0000-0200-00000C000000}"/>
    <hyperlink ref="P21" r:id="rId14" display="http://www.bav-astro.de/sfs/BAVM_link.php?BAVMnr=238" xr:uid="{00000000-0004-0000-0200-00000D000000}"/>
    <hyperlink ref="P22" r:id="rId15" display="http://www.bav-astro.de/sfs/BAVM_link.php?BAVMnr=238" xr:uid="{00000000-0004-0000-0200-00000E000000}"/>
    <hyperlink ref="P25" r:id="rId16" display="http://www.bav-astro.de/sfs/BAVM_link.php?BAVMnr=241" xr:uid="{00000000-0004-0000-0200-00000F000000}"/>
    <hyperlink ref="P26" r:id="rId17" display="http://www.bav-astro.de/sfs/BAVM_link.php?BAVMnr=241" xr:uid="{00000000-0004-0000-0200-00001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2024-01-15T04:32:17Z</dcterms:modified>
</cp:coreProperties>
</file>