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D86BEA7-E695-40D3-99E3-AB599446FC1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2" i="1" l="1"/>
  <c r="Q63" i="1"/>
  <c r="D9" i="1"/>
  <c r="C9" i="1"/>
  <c r="Q61" i="1"/>
  <c r="C7" i="1"/>
  <c r="E62" i="1"/>
  <c r="F62" i="1"/>
  <c r="C8" i="1"/>
  <c r="E54" i="1"/>
  <c r="F54" i="1"/>
  <c r="G54" i="1"/>
  <c r="K54" i="1"/>
  <c r="E47" i="1"/>
  <c r="F47" i="1"/>
  <c r="E36" i="1"/>
  <c r="F36" i="1"/>
  <c r="E39" i="1"/>
  <c r="F39" i="1"/>
  <c r="G39" i="1"/>
  <c r="J39" i="1"/>
  <c r="E51" i="1"/>
  <c r="F51" i="1"/>
  <c r="G51" i="1"/>
  <c r="K51" i="1"/>
  <c r="E52" i="1"/>
  <c r="F52" i="1"/>
  <c r="G52" i="1"/>
  <c r="K52" i="1"/>
  <c r="E55" i="1"/>
  <c r="F55" i="1"/>
  <c r="G55" i="1"/>
  <c r="K55" i="1"/>
  <c r="E43" i="1"/>
  <c r="F43" i="1"/>
  <c r="G43" i="1"/>
  <c r="J43" i="1"/>
  <c r="E58" i="1"/>
  <c r="F58" i="1"/>
  <c r="G58" i="1"/>
  <c r="K58" i="1"/>
  <c r="E59" i="1"/>
  <c r="F59" i="1"/>
  <c r="G59" i="1"/>
  <c r="K59" i="1"/>
  <c r="E60" i="1"/>
  <c r="F60" i="1"/>
  <c r="G60" i="1"/>
  <c r="K60" i="1"/>
  <c r="E48" i="1"/>
  <c r="F48" i="1"/>
  <c r="U48" i="1"/>
  <c r="Q45" i="1"/>
  <c r="Q60" i="1"/>
  <c r="Q59" i="1"/>
  <c r="Q58" i="1"/>
  <c r="Q44" i="1"/>
  <c r="Q55" i="1"/>
  <c r="Q43" i="1"/>
  <c r="G26" i="2"/>
  <c r="C26" i="2"/>
  <c r="E26" i="2"/>
  <c r="G22" i="2"/>
  <c r="C22" i="2"/>
  <c r="G25" i="2"/>
  <c r="C25" i="2"/>
  <c r="E25" i="2"/>
  <c r="G21" i="2"/>
  <c r="C21" i="2"/>
  <c r="E21" i="2"/>
  <c r="G20" i="2"/>
  <c r="C20" i="2"/>
  <c r="G19" i="2"/>
  <c r="C19" i="2"/>
  <c r="E19" i="2"/>
  <c r="G18" i="2"/>
  <c r="C18" i="2"/>
  <c r="E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E11" i="2"/>
  <c r="G24" i="2"/>
  <c r="C24" i="2"/>
  <c r="E24" i="2"/>
  <c r="G23" i="2"/>
  <c r="C23" i="2"/>
  <c r="E23" i="2"/>
  <c r="H26" i="2"/>
  <c r="B26" i="2"/>
  <c r="D26" i="2"/>
  <c r="A26" i="2"/>
  <c r="H22" i="2"/>
  <c r="D22" i="2"/>
  <c r="B22" i="2"/>
  <c r="A22" i="2"/>
  <c r="H25" i="2"/>
  <c r="B25" i="2"/>
  <c r="D25" i="2"/>
  <c r="A25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4" i="2"/>
  <c r="B24" i="2"/>
  <c r="D24" i="2"/>
  <c r="A24" i="2"/>
  <c r="H23" i="2"/>
  <c r="D23" i="2"/>
  <c r="B23" i="2"/>
  <c r="A23" i="2"/>
  <c r="E24" i="1"/>
  <c r="F24" i="1"/>
  <c r="Q42" i="1"/>
  <c r="Q57" i="1"/>
  <c r="Q56" i="1"/>
  <c r="Q50" i="1"/>
  <c r="Q51" i="1"/>
  <c r="Q52" i="1"/>
  <c r="Q53" i="1"/>
  <c r="Q54" i="1"/>
  <c r="Q41" i="1"/>
  <c r="Q40" i="1"/>
  <c r="Q39" i="1"/>
  <c r="Q38" i="1"/>
  <c r="Q37" i="1"/>
  <c r="Q36" i="1"/>
  <c r="E21" i="1"/>
  <c r="F21" i="1"/>
  <c r="G21" i="1"/>
  <c r="K21" i="1"/>
  <c r="E25" i="1"/>
  <c r="F25" i="1"/>
  <c r="G25" i="1"/>
  <c r="K25" i="1"/>
  <c r="E26" i="1"/>
  <c r="F26" i="1"/>
  <c r="E27" i="1"/>
  <c r="F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E22" i="1"/>
  <c r="F22" i="1"/>
  <c r="G22" i="1"/>
  <c r="K22" i="1"/>
  <c r="E23" i="1"/>
  <c r="F23" i="1"/>
  <c r="G23" i="1"/>
  <c r="K23" i="1"/>
  <c r="F16" i="1"/>
  <c r="C17" i="1"/>
  <c r="Q46" i="1"/>
  <c r="Q47" i="1"/>
  <c r="Q48" i="1"/>
  <c r="Q49" i="1"/>
  <c r="G24" i="1"/>
  <c r="K24" i="1"/>
  <c r="G26" i="1"/>
  <c r="G27" i="1"/>
  <c r="K27" i="1"/>
  <c r="G31" i="1"/>
  <c r="K31" i="1"/>
  <c r="G35" i="1"/>
  <c r="K35" i="1"/>
  <c r="Q22" i="1"/>
  <c r="Q24" i="1"/>
  <c r="Q23" i="1"/>
  <c r="Q25" i="1"/>
  <c r="K26" i="1"/>
  <c r="Q26" i="1"/>
  <c r="Q27" i="1"/>
  <c r="Q28" i="1"/>
  <c r="Q29" i="1"/>
  <c r="Q30" i="1"/>
  <c r="Q31" i="1"/>
  <c r="Q32" i="1"/>
  <c r="Q33" i="1"/>
  <c r="Q34" i="1"/>
  <c r="Q35" i="1"/>
  <c r="Q21" i="1"/>
  <c r="E13" i="2"/>
  <c r="E20" i="2"/>
  <c r="E15" i="2"/>
  <c r="E12" i="2"/>
  <c r="E42" i="1"/>
  <c r="F42" i="1"/>
  <c r="G42" i="1"/>
  <c r="J42" i="1"/>
  <c r="E40" i="1"/>
  <c r="F40" i="1"/>
  <c r="G40" i="1"/>
  <c r="J40" i="1"/>
  <c r="E61" i="1"/>
  <c r="F61" i="1"/>
  <c r="G63" i="1"/>
  <c r="K63" i="1"/>
  <c r="E53" i="1"/>
  <c r="F53" i="1"/>
  <c r="G53" i="1"/>
  <c r="K53" i="1"/>
  <c r="E37" i="1"/>
  <c r="F37" i="1"/>
  <c r="G37" i="1"/>
  <c r="J37" i="1"/>
  <c r="E57" i="1"/>
  <c r="F57" i="1"/>
  <c r="G57" i="1"/>
  <c r="K57" i="1"/>
  <c r="E50" i="1"/>
  <c r="F50" i="1"/>
  <c r="G50" i="1"/>
  <c r="K50" i="1"/>
  <c r="G36" i="1"/>
  <c r="J36" i="1"/>
  <c r="E46" i="1"/>
  <c r="F46" i="1"/>
  <c r="G46" i="1"/>
  <c r="I46" i="1"/>
  <c r="E63" i="1"/>
  <c r="F63" i="1"/>
  <c r="G62" i="1"/>
  <c r="K62" i="1"/>
  <c r="E56" i="1"/>
  <c r="F56" i="1"/>
  <c r="G56" i="1"/>
  <c r="K56" i="1"/>
  <c r="E41" i="1"/>
  <c r="F41" i="1"/>
  <c r="G41" i="1"/>
  <c r="J41" i="1"/>
  <c r="G47" i="1"/>
  <c r="I47" i="1"/>
  <c r="E49" i="1"/>
  <c r="F49" i="1"/>
  <c r="U49" i="1"/>
  <c r="E44" i="1"/>
  <c r="F44" i="1"/>
  <c r="G44" i="1"/>
  <c r="J44" i="1"/>
  <c r="E38" i="1"/>
  <c r="F38" i="1"/>
  <c r="G38" i="1"/>
  <c r="J38" i="1"/>
  <c r="E45" i="1"/>
  <c r="F45" i="1"/>
  <c r="G45" i="1"/>
  <c r="G61" i="1"/>
  <c r="K61" i="1"/>
  <c r="E17" i="2"/>
  <c r="J45" i="1"/>
  <c r="E22" i="2"/>
  <c r="E16" i="2"/>
  <c r="C12" i="1"/>
  <c r="C11" i="1"/>
  <c r="O24" i="1" l="1"/>
  <c r="O42" i="1"/>
  <c r="O53" i="1"/>
  <c r="O38" i="1"/>
  <c r="O49" i="1"/>
  <c r="O56" i="1"/>
  <c r="O39" i="1"/>
  <c r="O41" i="1"/>
  <c r="O63" i="1"/>
  <c r="O51" i="1"/>
  <c r="O37" i="1"/>
  <c r="O46" i="1"/>
  <c r="O47" i="1"/>
  <c r="C15" i="1"/>
  <c r="F18" i="1" s="1"/>
  <c r="O62" i="1"/>
  <c r="O50" i="1"/>
  <c r="O59" i="1"/>
  <c r="O58" i="1"/>
  <c r="O48" i="1"/>
  <c r="O55" i="1"/>
  <c r="O44" i="1"/>
  <c r="O52" i="1"/>
  <c r="O57" i="1"/>
  <c r="O36" i="1"/>
  <c r="O43" i="1"/>
  <c r="O40" i="1"/>
  <c r="O61" i="1"/>
  <c r="O60" i="1"/>
  <c r="O54" i="1"/>
  <c r="O45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<sst xmlns="http://schemas.openxmlformats.org/spreadsheetml/2006/main" count="279" uniqueCount="145">
  <si>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</si>
  <si>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</si>
  <si>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</si>
  <si>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</si>
  <si>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</si>
  <si>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</si>
  <si>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</si>
  <si>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</si>
  <si>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</si>
  <si>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</si>
  <si>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</si>
  <si>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</si>
  <si>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</si>
  <si>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</si>
  <si>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</si>
  <si>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</si>
  <si>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</si>
  <si>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</si>
  <si>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</si>
  <si>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</si>
  <si>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</si>
  <si>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</si>
  <si>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</si>
  <si>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</si>
  <si>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</si>
  <si>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</si>
  <si>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</si>
  <si>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</si>
  <si>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</si>
  <si>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</si>
  <si>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</si>
  <si>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</si>
  <si>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</si>
  <si>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</si>
  <si>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</si>
  <si>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</si>
  <si>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GV Boo / GSC 2001-0300</t>
  </si>
  <si>
    <t>EW</t>
  </si>
  <si>
    <t>II</t>
  </si>
  <si>
    <t>I</t>
  </si>
  <si>
    <t>IBVS 5438</t>
  </si>
  <si>
    <t>IBVS 5269 Eph.</t>
  </si>
  <si>
    <t>IBVS 5769</t>
  </si>
  <si>
    <t>OEJV 0073</t>
  </si>
  <si>
    <t>OEJV 0074</t>
  </si>
  <si>
    <t>Add cycle</t>
  </si>
  <si>
    <t>Old Cycle</t>
  </si>
  <si>
    <t>IBVS 5918</t>
  </si>
  <si>
    <t>IBVS 6010</t>
  </si>
  <si>
    <t>BAD?</t>
  </si>
  <si>
    <t>OEJV 0160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</si>
  <si>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</si>
  <si>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</si>
  <si>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</si>
  <si>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</si>
  <si>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</si>
  <si>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</si>
  <si>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</si>
  <si>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</si>
  <si>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</si>
  <si>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</si>
  <si>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</si>
  <si>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</si>
  <si>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</si>
  <si>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2454239.435 </t>
  </si>
  <si>
    <t> 18.05.2007 22:26 </t>
  </si>
  <si>
    <t> 0.019 </t>
  </si>
  <si>
    <t>C </t>
  </si>
  <si>
    <t>ns</t>
  </si>
  <si>
    <t> A.Paschke </t>
  </si>
  <si>
    <t>OEJV 0073 </t>
  </si>
  <si>
    <t>2454263.341 </t>
  </si>
  <si>
    <t> 11.06.2007 20:11 </t>
  </si>
  <si>
    <t> 0.013 </t>
  </si>
  <si>
    <t>2454924.3933 </t>
  </si>
  <si>
    <t> 02.04.2009 21:26 </t>
  </si>
  <si>
    <t> 0.0000 </t>
  </si>
  <si>
    <t>-I</t>
  </si>
  <si>
    <t> F.Agerer </t>
  </si>
  <si>
    <t>BAVM 209 </t>
  </si>
  <si>
    <t>2454924.5841 </t>
  </si>
  <si>
    <t> 03.04.2009 02:01 </t>
  </si>
  <si>
    <t>0.5</t>
  </si>
  <si>
    <t> 0.0069 </t>
  </si>
  <si>
    <t>2454941.5038 </t>
  </si>
  <si>
    <t> 20.04.2009 00:05 </t>
  </si>
  <si>
    <t>46.5</t>
  </si>
  <si>
    <t> 0.0045 </t>
  </si>
  <si>
    <t>2455624.4476 </t>
  </si>
  <si>
    <t> 03.03.2011 22:44 </t>
  </si>
  <si>
    <t>1903</t>
  </si>
  <si>
    <t> -0.0055 </t>
  </si>
  <si>
    <t>BAVM 220 </t>
  </si>
  <si>
    <t>2455624.6343 </t>
  </si>
  <si>
    <t> 04.03.2011 03:13 </t>
  </si>
  <si>
    <t>1903.5</t>
  </si>
  <si>
    <t> -0.0028 </t>
  </si>
  <si>
    <t>2455661.6030 </t>
  </si>
  <si>
    <t> 10.04.2011 02:28 </t>
  </si>
  <si>
    <t>2004</t>
  </si>
  <si>
    <t> -0.0052 </t>
  </si>
  <si>
    <t>2455689.37761 </t>
  </si>
  <si>
    <t> 07.05.2011 21:03 </t>
  </si>
  <si>
    <t>2079.5</t>
  </si>
  <si>
    <t> -0.00489 </t>
  </si>
  <si>
    <t>R</t>
  </si>
  <si>
    <t> M.Lehky </t>
  </si>
  <si>
    <t>OEJV 0160 </t>
  </si>
  <si>
    <t>2455700.41302 </t>
  </si>
  <si>
    <t> 18.05.2011 21:54 </t>
  </si>
  <si>
    <t>2109.5</t>
  </si>
  <si>
    <t> -0.00563 </t>
  </si>
  <si>
    <t> R.D?ev?ny </t>
  </si>
  <si>
    <t>2455700.41342 </t>
  </si>
  <si>
    <t> 18.05.2011 21:55 </t>
  </si>
  <si>
    <t> -0.00523 </t>
  </si>
  <si>
    <t>2455705.37624 </t>
  </si>
  <si>
    <t> 23.05.2011 21:01 </t>
  </si>
  <si>
    <t>2123</t>
  </si>
  <si>
    <t> -0.00868 </t>
  </si>
  <si>
    <t>2455956.6282 </t>
  </si>
  <si>
    <t> 30.01.2012 03:04 </t>
  </si>
  <si>
    <t>2806</t>
  </si>
  <si>
    <t> -0.0131 </t>
  </si>
  <si>
    <t>2456000.040 </t>
  </si>
  <si>
    <t> 13.03.2012 12:57 </t>
  </si>
  <si>
    <t>2924</t>
  </si>
  <si>
    <t> -0.010 </t>
  </si>
  <si>
    <t>o</t>
  </si>
  <si>
    <t>OEJV 0162 </t>
  </si>
  <si>
    <t>2456770.3473 </t>
  </si>
  <si>
    <t> 22.04.2014 20:20 </t>
  </si>
  <si>
    <t>5018</t>
  </si>
  <si>
    <t> -0.0262 </t>
  </si>
  <si>
    <t> W.Moschner &amp; P.Frank </t>
  </si>
  <si>
    <t>BAVM 238 </t>
  </si>
  <si>
    <t>2457119.4489 </t>
  </si>
  <si>
    <t> 06.04.2015 22:46 </t>
  </si>
  <si>
    <t>5967</t>
  </si>
  <si>
    <t> -0.0348 </t>
  </si>
  <si>
    <t>BAVM 241 (=IBVS 6157) </t>
  </si>
  <si>
    <t>OEJV 0162</t>
  </si>
  <si>
    <t>IBVS 6157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</si>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</sst>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/>
    <xf numFmtId="0" fontId="15" fillId="0" borderId="8" xfId="0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8" fillId="24" borderId="19" xfId="38" applyFill="1" applyBorder="1" applyAlignment="1" applyProtection="1">
      <alignment horizontal="right" vertical="top" wrapText="1"/>
    </xf>
    <xf numFmtId="0" fontId="16" fillId="0" borderId="0" xfId="0" applyFont="1">
      <alignment vertical="top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25" borderId="0" xfId="0" applyFont="1" applyFill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Boo - O-C Diagr.</a:t>
            </a:r>
          </a:p>
        </c:rich>
      </c:tx>
      <c:layout>
        <c:manualLayout>
          <c:xMode val="edge"/>
          <c:yMode val="edge"/>
          <c:x val="0.3834586466165413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3-4439-81E5-E868F07F9A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25">
                  <c:v>-1.857099994958844E-2</c:v>
                </c:pt>
                <c:pt idx="26">
                  <c:v>-2.4705999989237171E-2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B3-4439-81E5-E868F07F9A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5">
                  <c:v>-5.096899999625748E-2</c:v>
                </c:pt>
                <c:pt idx="16">
                  <c:v>-4.4108500005677342E-2</c:v>
                </c:pt>
                <c:pt idx="17">
                  <c:v>-4.6842500007187482E-2</c:v>
                </c:pt>
                <c:pt idx="18">
                  <c:v>-7.0406000006187242E-2</c:v>
                </c:pt>
                <c:pt idx="19">
                  <c:v>-6.7645500006619841E-2</c:v>
                </c:pt>
                <c:pt idx="20">
                  <c:v>-7.0785000003525056E-2</c:v>
                </c:pt>
                <c:pt idx="21">
                  <c:v>-0.11379100000340259</c:v>
                </c:pt>
                <c:pt idx="22">
                  <c:v>-0.12936199999967357</c:v>
                </c:pt>
                <c:pt idx="23">
                  <c:v>-0.15249300000141375</c:v>
                </c:pt>
                <c:pt idx="24">
                  <c:v>-0.17260249999526422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B3-4439-81E5-E868F07F9A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  <c:pt idx="1">
                  <c:v>2.6100000104634091E-4</c:v>
                </c:pt>
                <c:pt idx="2">
                  <c:v>2.6100000104634091E-4</c:v>
                </c:pt>
                <c:pt idx="3">
                  <c:v>1.3214999999036081E-3</c:v>
                </c:pt>
                <c:pt idx="4">
                  <c:v>-3.0515000034938566E-3</c:v>
                </c:pt>
                <c:pt idx="5">
                  <c:v>3.612000000430271E-3</c:v>
                </c:pt>
                <c:pt idx="6">
                  <c:v>-5.1020000028074719E-3</c:v>
                </c:pt>
                <c:pt idx="7">
                  <c:v>-9.6999996458180249E-5</c:v>
                </c:pt>
                <c:pt idx="8">
                  <c:v>-1.3324999963515438E-3</c:v>
                </c:pt>
                <c:pt idx="9">
                  <c:v>-1.57200000830926E-3</c:v>
                </c:pt>
                <c:pt idx="10">
                  <c:v>-2.0000000222353265E-4</c:v>
                </c:pt>
                <c:pt idx="11">
                  <c:v>4.4605000002775341E-3</c:v>
                </c:pt>
                <c:pt idx="12">
                  <c:v>2.7974999975413084E-3</c:v>
                </c:pt>
                <c:pt idx="13">
                  <c:v>1.4579999988200143E-3</c:v>
                </c:pt>
                <c:pt idx="14">
                  <c:v>-9.7400000231573358E-4</c:v>
                </c:pt>
                <c:pt idx="29">
                  <c:v>-7.1039499998732936E-2</c:v>
                </c:pt>
                <c:pt idx="30">
                  <c:v>-7.1999500003585126E-2</c:v>
                </c:pt>
                <c:pt idx="31">
                  <c:v>-7.1599500006414019E-2</c:v>
                </c:pt>
                <c:pt idx="32">
                  <c:v>-7.5146000002860092E-2</c:v>
                </c:pt>
                <c:pt idx="33">
                  <c:v>-8.4543000004487112E-2</c:v>
                </c:pt>
                <c:pt idx="34">
                  <c:v>-8.2464999999501742E-2</c:v>
                </c:pt>
                <c:pt idx="35">
                  <c:v>-0.1212805000031949</c:v>
                </c:pt>
                <c:pt idx="36">
                  <c:v>-0.11691699999937555</c:v>
                </c:pt>
                <c:pt idx="37">
                  <c:v>-0.13040950000868179</c:v>
                </c:pt>
                <c:pt idx="38">
                  <c:v>-0.13101699999970151</c:v>
                </c:pt>
                <c:pt idx="39">
                  <c:v>-0.15172400000301423</c:v>
                </c:pt>
                <c:pt idx="40">
                  <c:v>-0.17260249999526422</c:v>
                </c:pt>
                <c:pt idx="41">
                  <c:v>-0.17514449981536018</c:v>
                </c:pt>
                <c:pt idx="42">
                  <c:v>-0.18048099992302014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B3-4439-81E5-E868F07F9A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B3-4439-81E5-E868F07F9A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B3-4439-81E5-E868F07F9A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1E-3</c:v>
                  </c:pt>
                  <c:pt idx="40">
                    <c:v>1.2999999999999999E-3</c:v>
                  </c:pt>
                  <c:pt idx="41">
                    <c:v>2.9999999999999997E-4</c:v>
                  </c:pt>
                  <c:pt idx="4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B3-4439-81E5-E868F07F9A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3">
                  <c:v>5.4662624596821544E-2</c:v>
                </c:pt>
                <c:pt idx="15">
                  <c:v>-4.1970247299757027E-2</c:v>
                </c:pt>
                <c:pt idx="16">
                  <c:v>-4.1978207829610939E-2</c:v>
                </c:pt>
                <c:pt idx="17">
                  <c:v>-4.2710576576170389E-2</c:v>
                </c:pt>
                <c:pt idx="18">
                  <c:v>-7.2268023923727526E-2</c:v>
                </c:pt>
                <c:pt idx="19">
                  <c:v>-7.2275984453581438E-2</c:v>
                </c:pt>
                <c:pt idx="20">
                  <c:v>-7.3876050954216788E-2</c:v>
                </c:pt>
                <c:pt idx="21">
                  <c:v>-0.1218621249135689</c:v>
                </c:pt>
                <c:pt idx="22">
                  <c:v>-0.13697121057628464</c:v>
                </c:pt>
                <c:pt idx="23">
                  <c:v>-0.15112503265653149</c:v>
                </c:pt>
                <c:pt idx="24">
                  <c:v>-0.16753168468543408</c:v>
                </c:pt>
                <c:pt idx="25">
                  <c:v>-1.23252341238069E-2</c:v>
                </c:pt>
                <c:pt idx="26">
                  <c:v>-1.3360103004814827E-2</c:v>
                </c:pt>
                <c:pt idx="27">
                  <c:v>-1.2237668295413923E-2</c:v>
                </c:pt>
                <c:pt idx="28">
                  <c:v>-1.23252341238069E-2</c:v>
                </c:pt>
                <c:pt idx="29">
                  <c:v>-7.5078090962156757E-2</c:v>
                </c:pt>
                <c:pt idx="30">
                  <c:v>-7.5555722753391175E-2</c:v>
                </c:pt>
                <c:pt idx="31">
                  <c:v>-7.5555722753391175E-2</c:v>
                </c:pt>
                <c:pt idx="32">
                  <c:v>-7.5770657059446661E-2</c:v>
                </c:pt>
                <c:pt idx="33">
                  <c:v>-8.6644740839883799E-2</c:v>
                </c:pt>
                <c:pt idx="34">
                  <c:v>-8.8523425885405876E-2</c:v>
                </c:pt>
                <c:pt idx="35">
                  <c:v>-0.12489508678790753</c:v>
                </c:pt>
                <c:pt idx="36">
                  <c:v>-0.12511002109396302</c:v>
                </c:pt>
                <c:pt idx="37">
                  <c:v>-0.13748864501678859</c:v>
                </c:pt>
                <c:pt idx="38">
                  <c:v>-0.13848371124852699</c:v>
                </c:pt>
                <c:pt idx="39">
                  <c:v>-0.1519051645822144</c:v>
                </c:pt>
                <c:pt idx="40">
                  <c:v>-0.16753168468543408</c:v>
                </c:pt>
                <c:pt idx="41">
                  <c:v>-0.16813668495433101</c:v>
                </c:pt>
                <c:pt idx="42">
                  <c:v>-0.16835161926038653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B3-4439-81E5-E868F07F9A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8.0000000000000004E-4</c:v>
                  </c:pt>
                  <c:pt idx="5">
                    <c:v>1.2999999999999999E-3</c:v>
                  </c:pt>
                  <c:pt idx="6">
                    <c:v>1.1999999999999999E-3</c:v>
                  </c:pt>
                  <c:pt idx="7">
                    <c:v>1.9E-3</c:v>
                  </c:pt>
                  <c:pt idx="8">
                    <c:v>1.6000000000000001E-3</c:v>
                  </c:pt>
                  <c:pt idx="9">
                    <c:v>8.0000000000000004E-4</c:v>
                  </c:pt>
                  <c:pt idx="10">
                    <c:v>2.0999999999999999E-3</c:v>
                  </c:pt>
                  <c:pt idx="11">
                    <c:v>8.9999999999999998E-4</c:v>
                  </c:pt>
                  <c:pt idx="12">
                    <c:v>1.5E-3</c:v>
                  </c:pt>
                  <c:pt idx="13">
                    <c:v>8.9999999999999998E-4</c:v>
                  </c:pt>
                  <c:pt idx="14">
                    <c:v>3.3E-3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2.0999999999999999E-3</c:v>
                  </c:pt>
                  <c:pt idx="18">
                    <c:v>1.6000000000000001E-3</c:v>
                  </c:pt>
                  <c:pt idx="19">
                    <c:v>1.9E-3</c:v>
                  </c:pt>
                  <c:pt idx="20">
                    <c:v>2.3E-3</c:v>
                  </c:pt>
                  <c:pt idx="21">
                    <c:v>1.6000000000000001E-3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1.2999999999999999E-3</c:v>
                  </c:pt>
                  <c:pt idx="25">
                    <c:v>8.0000000000000002E-3</c:v>
                  </c:pt>
                  <c:pt idx="26">
                    <c:v>5.0000000000000001E-3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5.0000000000000001E-4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0</c:v>
                  </c:pt>
                  <c:pt idx="35">
                    <c:v>2.9999999999999997E-4</c:v>
                  </c:pt>
                  <c:pt idx="3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1041</c:v>
                </c:pt>
                <c:pt idx="2">
                  <c:v>1041</c:v>
                </c:pt>
                <c:pt idx="3">
                  <c:v>1041.5</c:v>
                </c:pt>
                <c:pt idx="4">
                  <c:v>-2771.5</c:v>
                </c:pt>
                <c:pt idx="5">
                  <c:v>-2728</c:v>
                </c:pt>
                <c:pt idx="6">
                  <c:v>-62</c:v>
                </c:pt>
                <c:pt idx="7">
                  <c:v>-57</c:v>
                </c:pt>
                <c:pt idx="8">
                  <c:v>-32.5</c:v>
                </c:pt>
                <c:pt idx="9">
                  <c:v>-32</c:v>
                </c:pt>
                <c:pt idx="10">
                  <c:v>0</c:v>
                </c:pt>
                <c:pt idx="11">
                  <c:v>0.5</c:v>
                </c:pt>
                <c:pt idx="12">
                  <c:v>97.5</c:v>
                </c:pt>
                <c:pt idx="13">
                  <c:v>98</c:v>
                </c:pt>
                <c:pt idx="14">
                  <c:v>106</c:v>
                </c:pt>
                <c:pt idx="15">
                  <c:v>7111</c:v>
                </c:pt>
                <c:pt idx="16">
                  <c:v>7111.5</c:v>
                </c:pt>
                <c:pt idx="17">
                  <c:v>7157.5</c:v>
                </c:pt>
                <c:pt idx="18">
                  <c:v>9014</c:v>
                </c:pt>
                <c:pt idx="19">
                  <c:v>9014.5</c:v>
                </c:pt>
                <c:pt idx="20">
                  <c:v>9115</c:v>
                </c:pt>
                <c:pt idx="21">
                  <c:v>12129</c:v>
                </c:pt>
                <c:pt idx="22">
                  <c:v>13078</c:v>
                </c:pt>
                <c:pt idx="23">
                  <c:v>13967</c:v>
                </c:pt>
                <c:pt idx="24">
                  <c:v>14997.5</c:v>
                </c:pt>
                <c:pt idx="25">
                  <c:v>5249</c:v>
                </c:pt>
                <c:pt idx="26">
                  <c:v>5314</c:v>
                </c:pt>
                <c:pt idx="27">
                  <c:v>5243.5</c:v>
                </c:pt>
                <c:pt idx="28">
                  <c:v>5249</c:v>
                </c:pt>
                <c:pt idx="29">
                  <c:v>9190.5</c:v>
                </c:pt>
                <c:pt idx="30">
                  <c:v>9220.5</c:v>
                </c:pt>
                <c:pt idx="31">
                  <c:v>9220.5</c:v>
                </c:pt>
                <c:pt idx="32">
                  <c:v>9234</c:v>
                </c:pt>
                <c:pt idx="33">
                  <c:v>9917</c:v>
                </c:pt>
                <c:pt idx="34">
                  <c:v>10035</c:v>
                </c:pt>
                <c:pt idx="35">
                  <c:v>12319.5</c:v>
                </c:pt>
                <c:pt idx="36">
                  <c:v>12333</c:v>
                </c:pt>
                <c:pt idx="37">
                  <c:v>13110.5</c:v>
                </c:pt>
                <c:pt idx="38">
                  <c:v>13173</c:v>
                </c:pt>
                <c:pt idx="39">
                  <c:v>14016</c:v>
                </c:pt>
                <c:pt idx="40">
                  <c:v>14997.5</c:v>
                </c:pt>
                <c:pt idx="41">
                  <c:v>15035.5</c:v>
                </c:pt>
                <c:pt idx="42">
                  <c:v>15049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27">
                  <c:v>-6.3306500007456634E-2</c:v>
                </c:pt>
                <c:pt idx="28">
                  <c:v>-4.3841000006068498E-2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B3-4439-81E5-E868F07F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55248"/>
        <c:axId val="1"/>
      </c:scatterChart>
      <c:valAx>
        <c:axId val="67005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5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53064690443099"/>
          <c:w val="0.7233082706766917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7FA008A-85ED-BAE7-12CF-2A13C3A6F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s://www.aavso.org/ejaavso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073.pdf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var.astro.cz/oejv/issues/oejv0073.pdf" TargetMode="External"/><Relationship Id="rId1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ar.astro.cz/oejv/issues/oejv0162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38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36</v>
      </c>
    </row>
    <row r="2" spans="1:6">
      <c r="A2" t="s">
        <v>25</v>
      </c>
      <c r="B2" t="s">
        <v>37</v>
      </c>
      <c r="C2" s="3"/>
      <c r="D2" s="3"/>
    </row>
    <row r="3" spans="1:6" ht="13.5" thickBot="1"/>
    <row r="4" spans="1:6" ht="13.5" thickBot="1">
      <c r="A4" s="30" t="s">
        <v>41</v>
      </c>
      <c r="C4" s="26">
        <v>52308.456700000002</v>
      </c>
      <c r="D4" s="27">
        <v>0.36787900000000001</v>
      </c>
    </row>
    <row r="5" spans="1:6">
      <c r="A5" s="9" t="s">
        <v>30</v>
      </c>
      <c r="B5" s="10"/>
      <c r="C5" s="11">
        <v>-9.5</v>
      </c>
      <c r="D5" s="10" t="s">
        <v>31</v>
      </c>
    </row>
    <row r="6" spans="1:6">
      <c r="A6" s="5" t="s">
        <v>2</v>
      </c>
    </row>
    <row r="7" spans="1:6">
      <c r="A7" t="s">
        <v>3</v>
      </c>
      <c r="C7">
        <f>+C4</f>
        <v>52308.456700000002</v>
      </c>
    </row>
    <row r="8" spans="1:6">
      <c r="A8" t="s">
        <v>4</v>
      </c>
      <c r="C8">
        <f>+D4</f>
        <v>0.36787900000000001</v>
      </c>
    </row>
    <row r="9" spans="1:6">
      <c r="A9" s="24" t="s">
        <v>35</v>
      </c>
      <c r="B9" s="25">
        <v>45</v>
      </c>
      <c r="C9" s="22" t="str">
        <f>"F"&amp;B9</f>
        <v>F45</v>
      </c>
      <c r="D9" s="23" t="str">
        <f>"G"&amp;B9</f>
        <v>G45</v>
      </c>
    </row>
    <row r="10" spans="1:6" ht="13.5" thickBot="1">
      <c r="A10" s="10"/>
      <c r="B10" s="10"/>
      <c r="C10" s="4" t="s">
        <v>21</v>
      </c>
      <c r="D10" s="4" t="s">
        <v>22</v>
      </c>
      <c r="E10" s="10"/>
    </row>
    <row r="11" spans="1:6">
      <c r="A11" s="10" t="s">
        <v>17</v>
      </c>
      <c r="B11" s="10"/>
      <c r="C11" s="21">
        <f ca="1">INTERCEPT(INDIRECT($D$9):G990,INDIRECT($C$9):F990)</f>
        <v>7.124440828251008E-2</v>
      </c>
      <c r="D11" s="3"/>
      <c r="E11" s="10"/>
    </row>
    <row r="12" spans="1:6">
      <c r="A12" s="10" t="s">
        <v>18</v>
      </c>
      <c r="B12" s="10"/>
      <c r="C12" s="21">
        <f ca="1">SLOPE(INDIRECT($D$9):G990,INDIRECT($C$9):F990)</f>
        <v>-1.5921059707814246E-5</v>
      </c>
      <c r="D12" s="3"/>
      <c r="E12" s="10"/>
    </row>
    <row r="13" spans="1:6">
      <c r="A13" s="10" t="s">
        <v>20</v>
      </c>
      <c r="B13" s="10"/>
      <c r="C13" s="3" t="s">
        <v>15</v>
      </c>
    </row>
    <row r="14" spans="1:6">
      <c r="A14" s="10"/>
      <c r="B14" s="10"/>
      <c r="C14" s="10"/>
    </row>
    <row r="15" spans="1:6">
      <c r="A15" s="12" t="s">
        <v>19</v>
      </c>
      <c r="B15" s="10"/>
      <c r="C15" s="13">
        <f ca="1">(C7+C11)+(C8+C12)*INT(MAX(F21:F3531))</f>
        <v>57844.499419380743</v>
      </c>
      <c r="E15" s="14" t="s">
        <v>45</v>
      </c>
      <c r="F15" s="11">
        <v>1</v>
      </c>
    </row>
    <row r="16" spans="1:6">
      <c r="A16" s="16" t="s">
        <v>5</v>
      </c>
      <c r="B16" s="10"/>
      <c r="C16" s="17">
        <f ca="1">+C8+C12</f>
        <v>0.36786307894029219</v>
      </c>
      <c r="E16" s="14" t="s">
        <v>32</v>
      </c>
      <c r="F16" s="15">
        <f ca="1">NOW()+15018.5+$C$5/24</f>
        <v>60324.731820601846</v>
      </c>
    </row>
    <row r="17" spans="1:21" ht="13.5" thickBot="1">
      <c r="A17" s="14" t="s">
        <v>29</v>
      </c>
      <c r="B17" s="10"/>
      <c r="C17" s="10">
        <f>COUNT(C21:C2189)</f>
        <v>43</v>
      </c>
      <c r="E17" s="14" t="s">
        <v>46</v>
      </c>
      <c r="F17" s="15">
        <f ca="1">ROUND(2*(F16-$C$7)/$C$8,0)/2+F15</f>
        <v>21791.5</v>
      </c>
    </row>
    <row r="18" spans="1:21" ht="14.25" thickTop="1" thickBot="1">
      <c r="A18" s="16" t="s">
        <v>6</v>
      </c>
      <c r="B18" s="10"/>
      <c r="C18" s="19">
        <f ca="1">+C15</f>
        <v>57844.499419380743</v>
      </c>
      <c r="D18" s="20">
        <f ca="1">+C16</f>
        <v>0.36786307894029219</v>
      </c>
      <c r="E18" s="14" t="s">
        <v>33</v>
      </c>
      <c r="F18" s="23">
        <f ca="1">ROUND(2*(F16-$C$15)/$C$16,0)/2+F15</f>
        <v>6743.5</v>
      </c>
    </row>
    <row r="19" spans="1:21" ht="13.5" thickTop="1">
      <c r="E19" s="14" t="s">
        <v>34</v>
      </c>
      <c r="F19" s="18">
        <f ca="1">+$C$15+$C$16*F18-15018.5-$C$5/24</f>
        <v>45307.079925547943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31" t="s">
        <v>49</v>
      </c>
    </row>
    <row r="21" spans="1:21">
      <c r="A21" t="s">
        <v>13</v>
      </c>
      <c r="C21" s="8">
        <v>52308.456700000002</v>
      </c>
      <c r="D21" s="8" t="s">
        <v>15</v>
      </c>
      <c r="E21">
        <f t="shared" ref="E21:E60" si="0">+(C21-C$7)/C$8</f>
        <v>0</v>
      </c>
      <c r="F21">
        <f t="shared" ref="F21:F41" si="1">ROUND(2*E21,0)/2</f>
        <v>0</v>
      </c>
      <c r="G21">
        <f t="shared" ref="G21:G47" si="2">+C21-(C$7+F21*C$8)</f>
        <v>0</v>
      </c>
      <c r="K21">
        <f t="shared" ref="K21:K35" si="3">+G21</f>
        <v>0</v>
      </c>
      <c r="Q21" s="2">
        <f t="shared" ref="Q21:Q60" si="4">+C21-15018.5</f>
        <v>37289.956700000002</v>
      </c>
    </row>
    <row r="22" spans="1:21">
      <c r="A22" s="35" t="s">
        <v>40</v>
      </c>
      <c r="B22" s="35"/>
      <c r="C22" s="35">
        <v>52691.419000000002</v>
      </c>
      <c r="D22" s="35">
        <v>4.0000000000000001E-3</v>
      </c>
      <c r="E22">
        <f t="shared" si="0"/>
        <v>1041.000709472406</v>
      </c>
      <c r="F22">
        <f t="shared" si="1"/>
        <v>1041</v>
      </c>
      <c r="G22">
        <f t="shared" si="2"/>
        <v>2.6100000104634091E-4</v>
      </c>
      <c r="K22">
        <f t="shared" si="3"/>
        <v>2.6100000104634091E-4</v>
      </c>
      <c r="Q22" s="2">
        <f t="shared" si="4"/>
        <v>37672.919000000002</v>
      </c>
    </row>
    <row r="23" spans="1:21">
      <c r="A23" s="35" t="s">
        <v>40</v>
      </c>
      <c r="B23" s="35"/>
      <c r="C23" s="35">
        <v>52691.419000000002</v>
      </c>
      <c r="D23" s="35">
        <v>4.0000000000000001E-3</v>
      </c>
      <c r="E23">
        <f t="shared" si="0"/>
        <v>1041.000709472406</v>
      </c>
      <c r="F23">
        <f t="shared" si="1"/>
        <v>1041</v>
      </c>
      <c r="G23">
        <f t="shared" si="2"/>
        <v>2.6100000104634091E-4</v>
      </c>
      <c r="K23">
        <f t="shared" si="3"/>
        <v>2.6100000104634091E-4</v>
      </c>
      <c r="Q23" s="2">
        <f t="shared" si="4"/>
        <v>37672.919000000002</v>
      </c>
    </row>
    <row r="24" spans="1:21">
      <c r="A24" s="35" t="s">
        <v>40</v>
      </c>
      <c r="B24" s="35"/>
      <c r="C24" s="35">
        <v>52691.603999999999</v>
      </c>
      <c r="D24" s="35">
        <v>2E-3</v>
      </c>
      <c r="E24">
        <f t="shared" si="0"/>
        <v>1041.5035922137358</v>
      </c>
      <c r="F24">
        <f t="shared" si="1"/>
        <v>1041.5</v>
      </c>
      <c r="G24">
        <f t="shared" si="2"/>
        <v>1.3214999999036081E-3</v>
      </c>
      <c r="K24">
        <f t="shared" si="3"/>
        <v>1.3214999999036081E-3</v>
      </c>
      <c r="O24">
        <f ca="1">+C$11+C$12*$F24</f>
        <v>5.4662624596821544E-2</v>
      </c>
      <c r="Q24" s="2">
        <f t="shared" si="4"/>
        <v>37673.103999999999</v>
      </c>
    </row>
    <row r="25" spans="1:21">
      <c r="A25" t="s">
        <v>42</v>
      </c>
      <c r="B25" s="28" t="s">
        <v>38</v>
      </c>
      <c r="C25" s="29">
        <v>51288.877</v>
      </c>
      <c r="D25" s="8">
        <v>8.0000000000000004E-4</v>
      </c>
      <c r="E25">
        <f t="shared" si="0"/>
        <v>-2771.5082948469526</v>
      </c>
      <c r="F25">
        <f t="shared" si="1"/>
        <v>-2771.5</v>
      </c>
      <c r="G25">
        <f t="shared" si="2"/>
        <v>-3.0515000034938566E-3</v>
      </c>
      <c r="K25">
        <f t="shared" si="3"/>
        <v>-3.0515000034938566E-3</v>
      </c>
      <c r="Q25" s="2">
        <f t="shared" si="4"/>
        <v>36270.377</v>
      </c>
    </row>
    <row r="26" spans="1:21">
      <c r="A26" t="s">
        <v>42</v>
      </c>
      <c r="B26" s="28" t="s">
        <v>39</v>
      </c>
      <c r="C26" s="29">
        <v>51304.886400000003</v>
      </c>
      <c r="D26" s="8">
        <v>1.2999999999999999E-3</v>
      </c>
      <c r="E26">
        <f t="shared" si="0"/>
        <v>-2727.9901815542594</v>
      </c>
      <c r="F26">
        <f t="shared" si="1"/>
        <v>-2728</v>
      </c>
      <c r="G26">
        <f t="shared" si="2"/>
        <v>3.612000000430271E-3</v>
      </c>
      <c r="K26">
        <f t="shared" si="3"/>
        <v>3.612000000430271E-3</v>
      </c>
      <c r="Q26" s="2">
        <f t="shared" si="4"/>
        <v>36286.386400000003</v>
      </c>
    </row>
    <row r="27" spans="1:21">
      <c r="A27" t="s">
        <v>42</v>
      </c>
      <c r="B27" s="28" t="s">
        <v>39</v>
      </c>
      <c r="C27" s="29">
        <v>52285.643100000001</v>
      </c>
      <c r="D27" s="8">
        <v>1.1999999999999999E-3</v>
      </c>
      <c r="E27">
        <f t="shared" si="0"/>
        <v>-62.013868690524099</v>
      </c>
      <c r="F27">
        <f t="shared" si="1"/>
        <v>-62</v>
      </c>
      <c r="G27">
        <f t="shared" si="2"/>
        <v>-5.1020000028074719E-3</v>
      </c>
      <c r="K27">
        <f t="shared" si="3"/>
        <v>-5.1020000028074719E-3</v>
      </c>
      <c r="Q27" s="2">
        <f t="shared" si="4"/>
        <v>37267.143100000001</v>
      </c>
    </row>
    <row r="28" spans="1:21">
      <c r="A28" t="s">
        <v>42</v>
      </c>
      <c r="B28" s="28" t="s">
        <v>39</v>
      </c>
      <c r="C28" s="29">
        <v>52287.487500000003</v>
      </c>
      <c r="D28" s="8">
        <v>1.9E-3</v>
      </c>
      <c r="E28">
        <f t="shared" si="0"/>
        <v>-57.000263673652327</v>
      </c>
      <c r="F28">
        <f t="shared" si="1"/>
        <v>-57</v>
      </c>
      <c r="G28">
        <f t="shared" si="2"/>
        <v>-9.6999996458180249E-5</v>
      </c>
      <c r="K28">
        <f t="shared" si="3"/>
        <v>-9.6999996458180249E-5</v>
      </c>
      <c r="Q28" s="2">
        <f t="shared" si="4"/>
        <v>37268.987500000003</v>
      </c>
    </row>
    <row r="29" spans="1:21">
      <c r="A29" t="s">
        <v>42</v>
      </c>
      <c r="B29" s="28" t="s">
        <v>38</v>
      </c>
      <c r="C29" s="29">
        <v>52296.499300000003</v>
      </c>
      <c r="D29" s="8">
        <v>1.6000000000000001E-3</v>
      </c>
      <c r="E29">
        <f t="shared" si="0"/>
        <v>-32.503622114878326</v>
      </c>
      <c r="F29">
        <f t="shared" si="1"/>
        <v>-32.5</v>
      </c>
      <c r="G29">
        <f t="shared" si="2"/>
        <v>-1.3324999963515438E-3</v>
      </c>
      <c r="K29">
        <f t="shared" si="3"/>
        <v>-1.3324999963515438E-3</v>
      </c>
      <c r="Q29" s="2">
        <f t="shared" si="4"/>
        <v>37277.999300000003</v>
      </c>
    </row>
    <row r="30" spans="1:21">
      <c r="A30" t="s">
        <v>42</v>
      </c>
      <c r="B30" s="28" t="s">
        <v>39</v>
      </c>
      <c r="C30" s="29">
        <v>52296.682999999997</v>
      </c>
      <c r="D30" s="8">
        <v>8.0000000000000004E-4</v>
      </c>
      <c r="E30">
        <f t="shared" si="0"/>
        <v>-32.004273144172927</v>
      </c>
      <c r="F30">
        <f t="shared" si="1"/>
        <v>-32</v>
      </c>
      <c r="G30">
        <f t="shared" si="2"/>
        <v>-1.57200000830926E-3</v>
      </c>
      <c r="K30">
        <f t="shared" si="3"/>
        <v>-1.57200000830926E-3</v>
      </c>
      <c r="Q30" s="2">
        <f t="shared" si="4"/>
        <v>37278.182999999997</v>
      </c>
    </row>
    <row r="31" spans="1:21">
      <c r="A31" t="s">
        <v>42</v>
      </c>
      <c r="B31" s="28" t="s">
        <v>39</v>
      </c>
      <c r="C31" s="29">
        <v>52308.4565</v>
      </c>
      <c r="D31" s="8">
        <v>2.0999999999999999E-3</v>
      </c>
      <c r="E31">
        <f t="shared" si="0"/>
        <v>-5.4365702370489386E-4</v>
      </c>
      <c r="F31">
        <f t="shared" si="1"/>
        <v>0</v>
      </c>
      <c r="G31">
        <f t="shared" si="2"/>
        <v>-2.0000000222353265E-4</v>
      </c>
      <c r="K31">
        <f t="shared" si="3"/>
        <v>-2.0000000222353265E-4</v>
      </c>
      <c r="Q31" s="2">
        <f t="shared" si="4"/>
        <v>37289.9565</v>
      </c>
    </row>
    <row r="32" spans="1:21">
      <c r="A32" t="s">
        <v>42</v>
      </c>
      <c r="B32" s="28" t="s">
        <v>38</v>
      </c>
      <c r="C32" s="29">
        <v>52308.645100000002</v>
      </c>
      <c r="D32" s="8">
        <v>8.9999999999999998E-4</v>
      </c>
      <c r="E32">
        <f t="shared" si="0"/>
        <v>0.51212491063390941</v>
      </c>
      <c r="F32">
        <f t="shared" si="1"/>
        <v>0.5</v>
      </c>
      <c r="G32">
        <f t="shared" si="2"/>
        <v>4.4605000002775341E-3</v>
      </c>
      <c r="K32">
        <f t="shared" si="3"/>
        <v>4.4605000002775341E-3</v>
      </c>
      <c r="Q32" s="2">
        <f t="shared" si="4"/>
        <v>37290.145100000002</v>
      </c>
    </row>
    <row r="33" spans="1:21">
      <c r="A33" t="s">
        <v>42</v>
      </c>
      <c r="B33" s="28" t="s">
        <v>38</v>
      </c>
      <c r="C33" s="29">
        <v>52344.327700000002</v>
      </c>
      <c r="D33" s="8">
        <v>1.5E-3</v>
      </c>
      <c r="E33">
        <f t="shared" si="0"/>
        <v>97.507604402532309</v>
      </c>
      <c r="F33">
        <f t="shared" si="1"/>
        <v>97.5</v>
      </c>
      <c r="G33">
        <f t="shared" si="2"/>
        <v>2.7974999975413084E-3</v>
      </c>
      <c r="K33">
        <f t="shared" si="3"/>
        <v>2.7974999975413084E-3</v>
      </c>
      <c r="Q33" s="2">
        <f t="shared" si="4"/>
        <v>37325.827700000002</v>
      </c>
    </row>
    <row r="34" spans="1:21">
      <c r="A34" t="s">
        <v>42</v>
      </c>
      <c r="B34" s="28" t="s">
        <v>39</v>
      </c>
      <c r="C34" s="29">
        <v>52344.510300000002</v>
      </c>
      <c r="D34" s="8">
        <v>8.9999999999999998E-4</v>
      </c>
      <c r="E34">
        <f t="shared" si="0"/>
        <v>98.003963259656786</v>
      </c>
      <c r="F34">
        <f t="shared" si="1"/>
        <v>98</v>
      </c>
      <c r="G34">
        <f t="shared" si="2"/>
        <v>1.4579999988200143E-3</v>
      </c>
      <c r="K34">
        <f t="shared" si="3"/>
        <v>1.4579999988200143E-3</v>
      </c>
      <c r="Q34" s="2">
        <f t="shared" si="4"/>
        <v>37326.010300000002</v>
      </c>
    </row>
    <row r="35" spans="1:21">
      <c r="A35" s="32" t="s">
        <v>42</v>
      </c>
      <c r="B35" s="33" t="s">
        <v>39</v>
      </c>
      <c r="C35" s="34">
        <v>52347.450900000003</v>
      </c>
      <c r="D35" s="35">
        <v>3.3E-3</v>
      </c>
      <c r="E35">
        <f t="shared" si="0"/>
        <v>105.99735239032671</v>
      </c>
      <c r="F35">
        <f t="shared" si="1"/>
        <v>106</v>
      </c>
      <c r="G35">
        <f t="shared" si="2"/>
        <v>-9.7400000231573358E-4</v>
      </c>
      <c r="K35">
        <f t="shared" si="3"/>
        <v>-9.7400000231573358E-4</v>
      </c>
      <c r="Q35" s="2">
        <f t="shared" si="4"/>
        <v>37328.950900000003</v>
      </c>
    </row>
    <row r="36" spans="1:21">
      <c r="A36" s="39" t="s">
        <v>47</v>
      </c>
      <c r="B36" s="40" t="s">
        <v>39</v>
      </c>
      <c r="C36" s="39">
        <v>54924.393300000003</v>
      </c>
      <c r="D36" s="39">
        <v>8.9999999999999998E-4</v>
      </c>
      <c r="E36">
        <f t="shared" si="0"/>
        <v>7110.8614517273363</v>
      </c>
      <c r="F36">
        <f t="shared" si="1"/>
        <v>7111</v>
      </c>
      <c r="G36">
        <f t="shared" si="2"/>
        <v>-5.096899999625748E-2</v>
      </c>
      <c r="J36">
        <f t="shared" ref="J36:J42" si="5">+G36</f>
        <v>-5.096899999625748E-2</v>
      </c>
      <c r="O36">
        <f t="shared" ref="O36:O60" ca="1" si="6">+C$11+C$12*$F36</f>
        <v>-4.1970247299757027E-2</v>
      </c>
      <c r="Q36" s="2">
        <f t="shared" si="4"/>
        <v>39905.893300000003</v>
      </c>
    </row>
    <row r="37" spans="1:21">
      <c r="A37" s="39" t="s">
        <v>47</v>
      </c>
      <c r="B37" s="40" t="s">
        <v>38</v>
      </c>
      <c r="C37" s="39">
        <v>54924.5841</v>
      </c>
      <c r="D37" s="39">
        <v>5.9999999999999995E-4</v>
      </c>
      <c r="E37">
        <f t="shared" si="0"/>
        <v>7111.3801005221758</v>
      </c>
      <c r="F37">
        <f t="shared" si="1"/>
        <v>7111.5</v>
      </c>
      <c r="G37">
        <f t="shared" si="2"/>
        <v>-4.4108500005677342E-2</v>
      </c>
      <c r="J37">
        <f t="shared" si="5"/>
        <v>-4.4108500005677342E-2</v>
      </c>
      <c r="O37">
        <f t="shared" ca="1" si="6"/>
        <v>-4.1978207829610939E-2</v>
      </c>
      <c r="Q37" s="2">
        <f t="shared" si="4"/>
        <v>39906.0841</v>
      </c>
    </row>
    <row r="38" spans="1:21">
      <c r="A38" s="39" t="s">
        <v>47</v>
      </c>
      <c r="B38" s="40" t="s">
        <v>38</v>
      </c>
      <c r="C38" s="39">
        <v>54941.503799999999</v>
      </c>
      <c r="D38" s="39">
        <v>2.0999999999999999E-3</v>
      </c>
      <c r="E38">
        <f t="shared" si="0"/>
        <v>7157.3726687307408</v>
      </c>
      <c r="F38">
        <f t="shared" si="1"/>
        <v>7157.5</v>
      </c>
      <c r="G38">
        <f t="shared" si="2"/>
        <v>-4.6842500007187482E-2</v>
      </c>
      <c r="J38">
        <f t="shared" si="5"/>
        <v>-4.6842500007187482E-2</v>
      </c>
      <c r="O38">
        <f t="shared" ca="1" si="6"/>
        <v>-4.2710576576170389E-2</v>
      </c>
      <c r="Q38" s="2">
        <f t="shared" si="4"/>
        <v>39923.003799999999</v>
      </c>
    </row>
    <row r="39" spans="1:21">
      <c r="A39" s="39" t="s">
        <v>48</v>
      </c>
      <c r="B39" s="40" t="s">
        <v>39</v>
      </c>
      <c r="C39" s="39">
        <v>55624.4476</v>
      </c>
      <c r="D39" s="39">
        <v>1.6000000000000001E-3</v>
      </c>
      <c r="E39">
        <f t="shared" si="0"/>
        <v>9013.8086164200649</v>
      </c>
      <c r="F39">
        <f t="shared" si="1"/>
        <v>9014</v>
      </c>
      <c r="G39">
        <f t="shared" si="2"/>
        <v>-7.0406000006187242E-2</v>
      </c>
      <c r="J39">
        <f t="shared" si="5"/>
        <v>-7.0406000006187242E-2</v>
      </c>
      <c r="O39">
        <f t="shared" ca="1" si="6"/>
        <v>-7.2268023923727526E-2</v>
      </c>
      <c r="Q39" s="2">
        <f t="shared" si="4"/>
        <v>40605.9476</v>
      </c>
    </row>
    <row r="40" spans="1:21">
      <c r="A40" s="39" t="s">
        <v>48</v>
      </c>
      <c r="B40" s="40" t="s">
        <v>38</v>
      </c>
      <c r="C40" s="39">
        <v>55624.634299999998</v>
      </c>
      <c r="D40" s="39">
        <v>1.9E-3</v>
      </c>
      <c r="E40">
        <f t="shared" si="0"/>
        <v>9014.3161202460469</v>
      </c>
      <c r="F40">
        <f t="shared" si="1"/>
        <v>9014.5</v>
      </c>
      <c r="G40">
        <f t="shared" si="2"/>
        <v>-6.7645500006619841E-2</v>
      </c>
      <c r="J40">
        <f t="shared" si="5"/>
        <v>-6.7645500006619841E-2</v>
      </c>
      <c r="O40">
        <f t="shared" ca="1" si="6"/>
        <v>-7.2275984453581438E-2</v>
      </c>
      <c r="Q40" s="2">
        <f t="shared" si="4"/>
        <v>40606.134299999998</v>
      </c>
    </row>
    <row r="41" spans="1:21">
      <c r="A41" s="39" t="s">
        <v>48</v>
      </c>
      <c r="B41" s="40" t="s">
        <v>39</v>
      </c>
      <c r="C41" s="39">
        <v>55661.603000000003</v>
      </c>
      <c r="D41" s="39">
        <v>2.3E-3</v>
      </c>
      <c r="E41">
        <f t="shared" si="0"/>
        <v>9114.8075861900252</v>
      </c>
      <c r="F41">
        <f t="shared" si="1"/>
        <v>9115</v>
      </c>
      <c r="G41">
        <f t="shared" si="2"/>
        <v>-7.0785000003525056E-2</v>
      </c>
      <c r="J41">
        <f t="shared" si="5"/>
        <v>-7.0785000003525056E-2</v>
      </c>
      <c r="O41">
        <f t="shared" ca="1" si="6"/>
        <v>-7.3876050954216788E-2</v>
      </c>
      <c r="Q41" s="2">
        <f t="shared" si="4"/>
        <v>40643.103000000003</v>
      </c>
    </row>
    <row r="42" spans="1:21">
      <c r="A42" s="34" t="s">
        <v>51</v>
      </c>
      <c r="B42" s="33" t="s">
        <v>39</v>
      </c>
      <c r="C42" s="34">
        <v>56770.347300000001</v>
      </c>
      <c r="D42" s="34">
        <v>1.6000000000000001E-3</v>
      </c>
      <c r="E42">
        <f t="shared" si="0"/>
        <v>12128.690683621513</v>
      </c>
      <c r="F42">
        <f>ROUND(2*E42,0)/2+0.5</f>
        <v>12129</v>
      </c>
      <c r="G42">
        <f t="shared" si="2"/>
        <v>-0.11379100000340259</v>
      </c>
      <c r="J42">
        <f t="shared" si="5"/>
        <v>-0.11379100000340259</v>
      </c>
      <c r="O42">
        <f t="shared" ca="1" si="6"/>
        <v>-0.1218621249135689</v>
      </c>
      <c r="Q42" s="2">
        <f t="shared" si="4"/>
        <v>41751.847300000001</v>
      </c>
    </row>
    <row r="43" spans="1:21">
      <c r="A43" s="56" t="s">
        <v>142</v>
      </c>
      <c r="B43" s="57"/>
      <c r="C43" s="56">
        <v>57119.448900000003</v>
      </c>
      <c r="D43" s="56">
        <v>5.0000000000000001E-4</v>
      </c>
      <c r="E43">
        <f t="shared" si="0"/>
        <v>13077.648357204409</v>
      </c>
      <c r="F43">
        <f>ROUND(2*E43,0)/2+0.5</f>
        <v>13078</v>
      </c>
      <c r="G43">
        <f t="shared" si="2"/>
        <v>-0.12936199999967357</v>
      </c>
      <c r="J43">
        <f>+G43</f>
        <v>-0.12936199999967357</v>
      </c>
      <c r="O43">
        <f t="shared" ca="1" si="6"/>
        <v>-0.13697121057628464</v>
      </c>
      <c r="Q43" s="2">
        <f t="shared" si="4"/>
        <v>42100.948900000003</v>
      </c>
    </row>
    <row r="44" spans="1:21">
      <c r="A44" s="62" t="s">
        <v>1</v>
      </c>
      <c r="B44" s="63" t="s">
        <v>39</v>
      </c>
      <c r="C44" s="64">
        <v>57446.470200000003</v>
      </c>
      <c r="D44" s="64">
        <v>2.9999999999999997E-4</v>
      </c>
      <c r="E44">
        <f t="shared" si="0"/>
        <v>13966.585480552032</v>
      </c>
      <c r="F44">
        <f>ROUND(2*E44,0)/2+0.5</f>
        <v>13967</v>
      </c>
      <c r="G44">
        <f t="shared" si="2"/>
        <v>-0.15249300000141375</v>
      </c>
      <c r="J44">
        <f>+G44</f>
        <v>-0.15249300000141375</v>
      </c>
      <c r="O44">
        <f t="shared" ca="1" si="6"/>
        <v>-0.15112503265653149</v>
      </c>
      <c r="Q44" s="2">
        <f t="shared" si="4"/>
        <v>42427.970200000003</v>
      </c>
    </row>
    <row r="45" spans="1:21">
      <c r="A45" s="59" t="s">
        <v>0</v>
      </c>
      <c r="B45" s="65" t="s">
        <v>39</v>
      </c>
      <c r="C45" s="66">
        <v>57825.549400000004</v>
      </c>
      <c r="D45" s="66">
        <v>1.2999999999999999E-3</v>
      </c>
      <c r="E45">
        <f t="shared" si="0"/>
        <v>14997.030817198049</v>
      </c>
      <c r="F45">
        <f>ROUND(2*E45,0)/2+0.5</f>
        <v>14997.5</v>
      </c>
      <c r="G45">
        <f t="shared" si="2"/>
        <v>-0.17260249999526422</v>
      </c>
      <c r="J45">
        <f>+G45</f>
        <v>-0.17260249999526422</v>
      </c>
      <c r="O45">
        <f t="shared" ca="1" si="6"/>
        <v>-0.16753168468543408</v>
      </c>
      <c r="Q45" s="2">
        <f t="shared" si="4"/>
        <v>42807.049400000004</v>
      </c>
    </row>
    <row r="46" spans="1:21">
      <c r="A46" s="35" t="s">
        <v>43</v>
      </c>
      <c r="B46" s="36" t="s">
        <v>39</v>
      </c>
      <c r="C46" s="35">
        <v>54239.435000000056</v>
      </c>
      <c r="D46" s="35">
        <v>8.0000000000000002E-3</v>
      </c>
      <c r="E46">
        <f t="shared" si="0"/>
        <v>5248.9495187277698</v>
      </c>
      <c r="F46">
        <f t="shared" ref="F46:F55" si="7">ROUND(2*E46,0)/2</f>
        <v>5249</v>
      </c>
      <c r="G46">
        <f t="shared" si="2"/>
        <v>-1.857099994958844E-2</v>
      </c>
      <c r="I46">
        <f>+G46</f>
        <v>-1.857099994958844E-2</v>
      </c>
      <c r="O46">
        <f t="shared" ca="1" si="6"/>
        <v>-1.23252341238069E-2</v>
      </c>
      <c r="Q46" s="2">
        <f t="shared" si="4"/>
        <v>39220.935000000056</v>
      </c>
    </row>
    <row r="47" spans="1:21">
      <c r="A47" s="35" t="s">
        <v>43</v>
      </c>
      <c r="B47" s="36" t="s">
        <v>39</v>
      </c>
      <c r="C47" s="35">
        <v>54263.341000000015</v>
      </c>
      <c r="D47" s="35">
        <v>5.0000000000000001E-3</v>
      </c>
      <c r="E47">
        <f t="shared" si="0"/>
        <v>5313.9328420486418</v>
      </c>
      <c r="F47">
        <f t="shared" si="7"/>
        <v>5314</v>
      </c>
      <c r="G47">
        <f t="shared" si="2"/>
        <v>-2.4705999989237171E-2</v>
      </c>
      <c r="I47">
        <f>+G47</f>
        <v>-2.4705999989237171E-2</v>
      </c>
      <c r="O47">
        <f t="shared" ca="1" si="6"/>
        <v>-1.3360103004814827E-2</v>
      </c>
      <c r="Q47" s="2">
        <f t="shared" si="4"/>
        <v>39244.841000000015</v>
      </c>
    </row>
    <row r="48" spans="1:21">
      <c r="A48" s="37" t="s">
        <v>44</v>
      </c>
      <c r="B48" s="38" t="s">
        <v>38</v>
      </c>
      <c r="C48" s="37">
        <v>54237.366929999997</v>
      </c>
      <c r="D48" s="37">
        <v>1E-4</v>
      </c>
      <c r="E48">
        <f t="shared" si="0"/>
        <v>5243.3279148850406</v>
      </c>
      <c r="F48">
        <f t="shared" si="7"/>
        <v>5243.5</v>
      </c>
      <c r="O48">
        <f t="shared" ca="1" si="6"/>
        <v>-1.2237668295413923E-2</v>
      </c>
      <c r="Q48" s="2">
        <f t="shared" si="4"/>
        <v>39218.866929999997</v>
      </c>
      <c r="U48">
        <f>+C48-(C$7+F48*C$8)</f>
        <v>-6.3306500007456634E-2</v>
      </c>
    </row>
    <row r="49" spans="1:21">
      <c r="A49" s="37" t="s">
        <v>44</v>
      </c>
      <c r="B49" s="38" t="s">
        <v>39</v>
      </c>
      <c r="C49" s="37">
        <v>54239.409729999999</v>
      </c>
      <c r="D49" s="37">
        <v>2.0000000000000001E-4</v>
      </c>
      <c r="E49">
        <f t="shared" si="0"/>
        <v>5248.8808276634354</v>
      </c>
      <c r="F49">
        <f t="shared" si="7"/>
        <v>5249</v>
      </c>
      <c r="O49">
        <f t="shared" ca="1" si="6"/>
        <v>-1.23252341238069E-2</v>
      </c>
      <c r="Q49" s="2">
        <f t="shared" si="4"/>
        <v>39220.909729999999</v>
      </c>
      <c r="U49">
        <f>+C49-(C$7+F49*C$8)</f>
        <v>-4.3841000006068498E-2</v>
      </c>
    </row>
    <row r="50" spans="1:21">
      <c r="A50" s="54" t="s">
        <v>50</v>
      </c>
      <c r="B50" s="36" t="s">
        <v>38</v>
      </c>
      <c r="C50" s="35">
        <v>55689.377610000003</v>
      </c>
      <c r="D50" s="35">
        <v>2.0000000000000001E-4</v>
      </c>
      <c r="E50">
        <f t="shared" si="0"/>
        <v>9190.306894386471</v>
      </c>
      <c r="F50">
        <f t="shared" si="7"/>
        <v>9190.5</v>
      </c>
      <c r="G50">
        <f t="shared" ref="G50:G60" si="8">+C50-(C$7+F50*C$8)</f>
        <v>-7.1039499998732936E-2</v>
      </c>
      <c r="K50">
        <f t="shared" ref="K50:K61" si="9">+G50</f>
        <v>-7.1039499998732936E-2</v>
      </c>
      <c r="O50">
        <f t="shared" ca="1" si="6"/>
        <v>-7.5078090962156757E-2</v>
      </c>
      <c r="Q50" s="2">
        <f t="shared" si="4"/>
        <v>40670.877610000003</v>
      </c>
    </row>
    <row r="51" spans="1:21">
      <c r="A51" s="54" t="s">
        <v>50</v>
      </c>
      <c r="B51" s="36" t="s">
        <v>38</v>
      </c>
      <c r="C51" s="35">
        <v>55700.41302</v>
      </c>
      <c r="D51" s="35">
        <v>5.0000000000000001E-4</v>
      </c>
      <c r="E51">
        <f t="shared" si="0"/>
        <v>9220.3042848327768</v>
      </c>
      <c r="F51">
        <f t="shared" si="7"/>
        <v>9220.5</v>
      </c>
      <c r="G51">
        <f t="shared" si="8"/>
        <v>-7.1999500003585126E-2</v>
      </c>
      <c r="K51">
        <f t="shared" si="9"/>
        <v>-7.1999500003585126E-2</v>
      </c>
      <c r="O51">
        <f t="shared" ca="1" si="6"/>
        <v>-7.5555722753391175E-2</v>
      </c>
      <c r="Q51" s="2">
        <f t="shared" si="4"/>
        <v>40681.91302</v>
      </c>
    </row>
    <row r="52" spans="1:21">
      <c r="A52" s="54" t="s">
        <v>50</v>
      </c>
      <c r="B52" s="36" t="s">
        <v>38</v>
      </c>
      <c r="C52" s="35">
        <v>55700.413419999997</v>
      </c>
      <c r="D52" s="35">
        <v>4.0000000000000002E-4</v>
      </c>
      <c r="E52">
        <f t="shared" si="0"/>
        <v>9220.3053721468059</v>
      </c>
      <c r="F52">
        <f t="shared" si="7"/>
        <v>9220.5</v>
      </c>
      <c r="G52">
        <f t="shared" si="8"/>
        <v>-7.1599500006414019E-2</v>
      </c>
      <c r="K52">
        <f t="shared" si="9"/>
        <v>-7.1599500006414019E-2</v>
      </c>
      <c r="O52">
        <f t="shared" ca="1" si="6"/>
        <v>-7.5555722753391175E-2</v>
      </c>
      <c r="Q52" s="2">
        <f t="shared" si="4"/>
        <v>40681.913419999997</v>
      </c>
    </row>
    <row r="53" spans="1:21">
      <c r="A53" s="54" t="s">
        <v>50</v>
      </c>
      <c r="B53" s="36" t="s">
        <v>39</v>
      </c>
      <c r="C53" s="35">
        <v>55705.376239999998</v>
      </c>
      <c r="D53" s="35">
        <v>2.9999999999999997E-4</v>
      </c>
      <c r="E53">
        <f t="shared" si="0"/>
        <v>9233.7957317487417</v>
      </c>
      <c r="F53">
        <f t="shared" si="7"/>
        <v>9234</v>
      </c>
      <c r="G53">
        <f t="shared" si="8"/>
        <v>-7.5146000002860092E-2</v>
      </c>
      <c r="K53">
        <f t="shared" si="9"/>
        <v>-7.5146000002860092E-2</v>
      </c>
      <c r="O53">
        <f t="shared" ca="1" si="6"/>
        <v>-7.5770657059446661E-2</v>
      </c>
      <c r="Q53" s="2">
        <f t="shared" si="4"/>
        <v>40686.876239999998</v>
      </c>
    </row>
    <row r="54" spans="1:21">
      <c r="A54" s="54" t="s">
        <v>50</v>
      </c>
      <c r="B54" s="36" t="s">
        <v>39</v>
      </c>
      <c r="C54" s="35">
        <v>55956.628199999999</v>
      </c>
      <c r="D54" s="35">
        <v>2.0000000000000001E-4</v>
      </c>
      <c r="E54">
        <f t="shared" si="0"/>
        <v>9916.770188023771</v>
      </c>
      <c r="F54">
        <f t="shared" si="7"/>
        <v>9917</v>
      </c>
      <c r="G54">
        <f t="shared" si="8"/>
        <v>-8.4543000004487112E-2</v>
      </c>
      <c r="K54">
        <f t="shared" si="9"/>
        <v>-8.4543000004487112E-2</v>
      </c>
      <c r="O54">
        <f t="shared" ca="1" si="6"/>
        <v>-8.6644740839883799E-2</v>
      </c>
      <c r="Q54" s="2">
        <f t="shared" si="4"/>
        <v>40938.128199999999</v>
      </c>
    </row>
    <row r="55" spans="1:21">
      <c r="A55" s="35" t="s">
        <v>141</v>
      </c>
      <c r="B55" s="36" t="s">
        <v>39</v>
      </c>
      <c r="C55" s="35">
        <v>56000.04</v>
      </c>
      <c r="D55" s="35" t="s">
        <v>63</v>
      </c>
      <c r="E55">
        <f t="shared" si="0"/>
        <v>10034.775836620189</v>
      </c>
      <c r="F55" s="58">
        <f t="shared" si="7"/>
        <v>10035</v>
      </c>
      <c r="G55">
        <f t="shared" si="8"/>
        <v>-8.2464999999501742E-2</v>
      </c>
      <c r="K55">
        <f t="shared" si="9"/>
        <v>-8.2464999999501742E-2</v>
      </c>
      <c r="O55">
        <f t="shared" ca="1" si="6"/>
        <v>-8.8523425885405876E-2</v>
      </c>
      <c r="Q55" s="2">
        <f t="shared" si="4"/>
        <v>40981.54</v>
      </c>
    </row>
    <row r="56" spans="1:21">
      <c r="A56" s="35" t="s">
        <v>52</v>
      </c>
      <c r="B56" s="36" t="s">
        <v>38</v>
      </c>
      <c r="C56" s="55">
        <v>56840.420760000001</v>
      </c>
      <c r="D56" s="35">
        <v>2.9999999999999997E-4</v>
      </c>
      <c r="E56">
        <f t="shared" si="0"/>
        <v>12319.170325025343</v>
      </c>
      <c r="F56">
        <f t="shared" ref="F56:F63" si="10">ROUND(2*E56,0)/2+0.5</f>
        <v>12319.5</v>
      </c>
      <c r="G56">
        <f t="shared" si="8"/>
        <v>-0.1212805000031949</v>
      </c>
      <c r="K56">
        <f t="shared" si="9"/>
        <v>-0.1212805000031949</v>
      </c>
      <c r="O56">
        <f t="shared" ca="1" si="6"/>
        <v>-0.12489508678790753</v>
      </c>
      <c r="Q56" s="2">
        <f t="shared" si="4"/>
        <v>41821.920760000001</v>
      </c>
    </row>
    <row r="57" spans="1:21">
      <c r="A57" s="35" t="s">
        <v>52</v>
      </c>
      <c r="B57" s="36" t="s">
        <v>39</v>
      </c>
      <c r="C57" s="55">
        <v>56845.391490000002</v>
      </c>
      <c r="D57" s="35">
        <v>4.0000000000000002E-4</v>
      </c>
      <c r="E57">
        <f t="shared" si="0"/>
        <v>12332.682186262329</v>
      </c>
      <c r="F57">
        <f t="shared" si="10"/>
        <v>12333</v>
      </c>
      <c r="G57">
        <f t="shared" si="8"/>
        <v>-0.11691699999937555</v>
      </c>
      <c r="K57">
        <f t="shared" si="9"/>
        <v>-0.11691699999937555</v>
      </c>
      <c r="O57">
        <f t="shared" ca="1" si="6"/>
        <v>-0.12511002109396302</v>
      </c>
      <c r="Q57" s="2">
        <f t="shared" si="4"/>
        <v>41826.891490000002</v>
      </c>
    </row>
    <row r="58" spans="1:21">
      <c r="A58" s="59" t="s">
        <v>143</v>
      </c>
      <c r="B58" s="60" t="s">
        <v>38</v>
      </c>
      <c r="C58" s="61">
        <v>57131.403919999997</v>
      </c>
      <c r="D58" s="61">
        <v>4.0000000000000002E-4</v>
      </c>
      <c r="E58">
        <f t="shared" si="0"/>
        <v>13110.145509800761</v>
      </c>
      <c r="F58">
        <f t="shared" si="10"/>
        <v>13110.5</v>
      </c>
      <c r="G58">
        <f t="shared" si="8"/>
        <v>-0.13040950000868179</v>
      </c>
      <c r="K58">
        <f t="shared" si="9"/>
        <v>-0.13040950000868179</v>
      </c>
      <c r="O58">
        <f t="shared" ca="1" si="6"/>
        <v>-0.13748864501678859</v>
      </c>
      <c r="Q58" s="2">
        <f t="shared" si="4"/>
        <v>42112.903919999997</v>
      </c>
    </row>
    <row r="59" spans="1:21">
      <c r="A59" s="59" t="s">
        <v>143</v>
      </c>
      <c r="B59" s="60" t="s">
        <v>39</v>
      </c>
      <c r="C59" s="61">
        <v>57154.395750000003</v>
      </c>
      <c r="D59" s="61">
        <v>4.0000000000000002E-4</v>
      </c>
      <c r="E59">
        <f t="shared" si="0"/>
        <v>13172.643858442587</v>
      </c>
      <c r="F59">
        <f t="shared" si="10"/>
        <v>13173</v>
      </c>
      <c r="G59">
        <f t="shared" si="8"/>
        <v>-0.13101699999970151</v>
      </c>
      <c r="K59">
        <f t="shared" si="9"/>
        <v>-0.13101699999970151</v>
      </c>
      <c r="O59">
        <f t="shared" ca="1" si="6"/>
        <v>-0.13848371124852699</v>
      </c>
      <c r="Q59" s="2">
        <f t="shared" si="4"/>
        <v>42135.895750000003</v>
      </c>
    </row>
    <row r="60" spans="1:21">
      <c r="A60" s="59" t="s">
        <v>143</v>
      </c>
      <c r="B60" s="60" t="s">
        <v>39</v>
      </c>
      <c r="C60" s="61">
        <v>57464.497040000002</v>
      </c>
      <c r="D60" s="61">
        <v>1E-3</v>
      </c>
      <c r="E60">
        <f t="shared" si="0"/>
        <v>14015.58757091326</v>
      </c>
      <c r="F60">
        <f t="shared" si="10"/>
        <v>14016</v>
      </c>
      <c r="G60">
        <f t="shared" si="8"/>
        <v>-0.15172400000301423</v>
      </c>
      <c r="K60">
        <f t="shared" si="9"/>
        <v>-0.15172400000301423</v>
      </c>
      <c r="O60">
        <f t="shared" ca="1" si="6"/>
        <v>-0.1519051645822144</v>
      </c>
      <c r="Q60" s="2">
        <f t="shared" si="4"/>
        <v>42445.997040000002</v>
      </c>
    </row>
    <row r="61" spans="1:21">
      <c r="A61" s="59" t="s">
        <v>0</v>
      </c>
      <c r="B61" s="65" t="s">
        <v>39</v>
      </c>
      <c r="C61" s="66">
        <v>57825.549400000004</v>
      </c>
      <c r="D61" s="66">
        <v>1.2999999999999999E-3</v>
      </c>
      <c r="E61">
        <f>+(C61-C$7)/C$8</f>
        <v>14997.030817198049</v>
      </c>
      <c r="F61">
        <f t="shared" si="10"/>
        <v>14997.5</v>
      </c>
      <c r="G61">
        <f>+C61-(C$7+F61*C$8)</f>
        <v>-0.17260249999526422</v>
      </c>
      <c r="K61">
        <f t="shared" si="9"/>
        <v>-0.17260249999526422</v>
      </c>
      <c r="O61">
        <f ca="1">+C$11+C$12*$F61</f>
        <v>-0.16753168468543408</v>
      </c>
      <c r="Q61" s="2">
        <f>+C61-15018.5</f>
        <v>42807.049400000004</v>
      </c>
    </row>
    <row r="62" spans="1:21">
      <c r="A62" s="67" t="s">
        <v>144</v>
      </c>
      <c r="B62" s="68" t="s">
        <v>38</v>
      </c>
      <c r="C62" s="69">
        <v>57839.526260000188</v>
      </c>
      <c r="D62" s="69">
        <v>2.9999999999999997E-4</v>
      </c>
      <c r="E62">
        <f>+(C62-C$7)/C$8</f>
        <v>15035.023907317855</v>
      </c>
      <c r="F62">
        <f t="shared" si="10"/>
        <v>15035.5</v>
      </c>
      <c r="G62">
        <f>+C62-(C$7+F62*C$8)</f>
        <v>-0.17514449981536018</v>
      </c>
      <c r="K62">
        <f>+G62</f>
        <v>-0.17514449981536018</v>
      </c>
      <c r="O62">
        <f ca="1">+C$11+C$12*$F62</f>
        <v>-0.16813668495433101</v>
      </c>
      <c r="Q62" s="2">
        <f>+C62-15018.5</f>
        <v>42821.026260000188</v>
      </c>
    </row>
    <row r="63" spans="1:21">
      <c r="A63" s="67" t="s">
        <v>144</v>
      </c>
      <c r="B63" s="68" t="s">
        <v>39</v>
      </c>
      <c r="C63" s="69">
        <v>57844.487290000077</v>
      </c>
      <c r="D63" s="69">
        <v>2.9999999999999997E-4</v>
      </c>
      <c r="E63">
        <f>+(C63-C$7)/C$8</f>
        <v>15048.509401189182</v>
      </c>
      <c r="F63">
        <f t="shared" si="10"/>
        <v>15049</v>
      </c>
      <c r="G63">
        <f>+C63-(C$7+F63*C$8)</f>
        <v>-0.18048099992302014</v>
      </c>
      <c r="K63">
        <f>+G63</f>
        <v>-0.18048099992302014</v>
      </c>
      <c r="O63">
        <f ca="1">+C$11+C$12*$F63</f>
        <v>-0.16835161926038653</v>
      </c>
      <c r="Q63" s="2">
        <f>+C63-15018.5</f>
        <v>42825.987290000077</v>
      </c>
    </row>
    <row r="64" spans="1:21">
      <c r="A64" s="32"/>
      <c r="B64" s="32"/>
      <c r="C64" s="35"/>
      <c r="D64" s="35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</sheetData>
  <protectedRanges>
    <protectedRange sqref="A62:D63" name="Range1"/>
  </protectedRanges>
  <phoneticPr fontId="8" type="noConversion"/>
  <hyperlinks>
    <hyperlink ref="H2935" r:id="rId1" display="http://vsolj.cetus-net.org/bulletin.html"/>
    <hyperlink ref="H64738" r:id="rId2" display="http://vsolj.cetus-net.org/bulletin.html"/>
    <hyperlink ref="H64731" r:id="rId3" display="https://www.aavso.org/ejaavso"/>
    <hyperlink ref="AP1589" r:id="rId4" display="http://cdsbib.u-strasbg.fr/cgi-bin/cdsbib?1990RMxAA..21..381G"/>
    <hyperlink ref="AP1586" r:id="rId5" display="http://cdsbib.u-strasbg.fr/cgi-bin/cdsbib?1990RMxAA..21..381G"/>
    <hyperlink ref="AP1588" r:id="rId6" display="http://cdsbib.u-strasbg.fr/cgi-bin/cdsbib?1990RMxAA..21..381G"/>
    <hyperlink ref="AP1564" r:id="rId7" display="http://cdsbib.u-strasbg.fr/cgi-bin/cdsbib?1990RMxAA..21..381G"/>
    <hyperlink ref="I64738" r:id="rId8" display="http://vsolj.cetus-net.org/bulletin.html"/>
    <hyperlink ref="AQ1725" r:id="rId9" display="http://cdsbib.u-strasbg.fr/cgi-bin/cdsbib?1990RMxAA..21..381G"/>
    <hyperlink ref="AQ3369" r:id="rId10" display="http://cdsbib.u-strasbg.fr/cgi-bin/cdsbib?1990RMxAA..21..381G"/>
    <hyperlink ref="AQ1726" r:id="rId11" display="http://cdsbib.u-strasbg.fr/cgi-bin/cdsbib?1990RMxAA..21..381G"/>
    <hyperlink ref="H64735" r:id="rId12" display="https://www.aavso.org/ejaavso"/>
    <hyperlink ref="H2576" r:id="rId13" display="http://vsolj.cetus-net.org/bulletin.html"/>
    <hyperlink ref="AP5814" r:id="rId14" display="http://cdsbib.u-strasbg.fr/cgi-bin/cdsbib?1990RMxAA..21..381G"/>
    <hyperlink ref="AP5817" r:id="rId15" display="http://cdsbib.u-strasbg.fr/cgi-bin/cdsbib?1990RMxAA..21..381G"/>
    <hyperlink ref="AP5815" r:id="rId16" display="http://cdsbib.u-strasbg.fr/cgi-bin/cdsbib?1990RMxAA..21..381G"/>
    <hyperlink ref="AP5793" r:id="rId17" display="http://cdsbib.u-strasbg.fr/cgi-bin/cdsbib?1990RMxAA..21..381G"/>
    <hyperlink ref="I2576" r:id="rId18" display="http://vsolj.cetus-net.org/bulletin.html"/>
    <hyperlink ref="AQ5927" r:id="rId19" display="http://cdsbib.u-strasbg.fr/cgi-bin/cdsbib?1990RMxAA..21..381G"/>
    <hyperlink ref="AQ479" r:id="rId20" display="http://cdsbib.u-strasbg.fr/cgi-bin/cdsbib?1990RMxAA..21..381G"/>
    <hyperlink ref="AQ5928" r:id="rId21" display="http://cdsbib.u-strasbg.fr/cgi-bin/cdsbib?1990RMxAA..21..381G"/>
    <hyperlink ref="H64739" r:id="rId22" display="http://vsolj.cetus-net.org/bulletin.html"/>
    <hyperlink ref="H64732" r:id="rId23" display="https://www.aavso.org/ejaavso"/>
    <hyperlink ref="AP1590" r:id="rId24" display="http://cdsbib.u-strasbg.fr/cgi-bin/cdsbib?1990RMxAA..21..381G"/>
    <hyperlink ref="AP1587" r:id="rId25" display="http://cdsbib.u-strasbg.fr/cgi-bin/cdsbib?1990RMxAA..21..381G"/>
    <hyperlink ref="AP1565" r:id="rId26" display="http://cdsbib.u-strasbg.fr/cgi-bin/cdsbib?1990RMxAA..21..381G"/>
    <hyperlink ref="I64739" r:id="rId27" display="http://vsolj.cetus-net.org/bulletin.html"/>
    <hyperlink ref="AQ3370" r:id="rId28" display="http://cdsbib.u-strasbg.fr/cgi-bin/cdsbib?1990RMxAA..21..381G"/>
    <hyperlink ref="AQ1727" r:id="rId29" display="http://cdsbib.u-strasbg.fr/cgi-bin/cdsbib?1990RMxAA..21..381G"/>
    <hyperlink ref="H64736" r:id="rId30" display="https://www.aavso.org/ejaavso"/>
    <hyperlink ref="H2577" r:id="rId31" display="http://vsolj.cetus-net.org/bulletin.html"/>
    <hyperlink ref="AP5818" r:id="rId32" display="http://cdsbib.u-strasbg.fr/cgi-bin/cdsbib?1990RMxAA..21..381G"/>
    <hyperlink ref="AP5816" r:id="rId33" display="http://cdsbib.u-strasbg.fr/cgi-bin/cdsbib?1990RMxAA..21..381G"/>
    <hyperlink ref="AP5794" r:id="rId34" display="http://cdsbib.u-strasbg.fr/cgi-bin/cdsbib?1990RMxAA..21..381G"/>
    <hyperlink ref="I2577" r:id="rId35" display="http://vsolj.cetus-net.org/bulletin.html"/>
    <hyperlink ref="AQ480" r:id="rId36" display="http://cdsbib.u-strasbg.fr/cgi-bin/cdsbib?1990RMxAA..21..381G"/>
    <hyperlink ref="AQ5929" r:id="rId37" display="http://cdsbib.u-strasbg.fr/cgi-bin/cdsbib?1990RMxAA..21..381G"/>
  </hyperlinks>
  <pageMargins left="0.75" right="0.75" top="1" bottom="1" header="0.5" footer="0.5"/>
  <headerFooter alignWithMargins="0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78"/>
  <sheetViews>
    <sheetView topLeftCell="A4" workbookViewId="0">
      <selection activeCell="A23" sqref="A23:D26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1" t="s">
        <v>53</v>
      </c>
      <c r="I1" s="42" t="s">
        <v>54</v>
      </c>
      <c r="J1" s="43" t="s">
        <v>55</v>
      </c>
    </row>
    <row r="2" spans="1:16">
      <c r="I2" s="44" t="s">
        <v>56</v>
      </c>
      <c r="J2" s="45" t="s">
        <v>57</v>
      </c>
    </row>
    <row r="3" spans="1:16">
      <c r="A3" s="46" t="s">
        <v>58</v>
      </c>
      <c r="I3" s="44" t="s">
        <v>59</v>
      </c>
      <c r="J3" s="45" t="s">
        <v>60</v>
      </c>
    </row>
    <row r="4" spans="1:16">
      <c r="I4" s="44" t="s">
        <v>61</v>
      </c>
      <c r="J4" s="45" t="s">
        <v>60</v>
      </c>
    </row>
    <row r="5" spans="1:16" ht="13.5" thickBot="1">
      <c r="I5" s="47" t="s">
        <v>62</v>
      </c>
      <c r="J5" s="48" t="s">
        <v>63</v>
      </c>
    </row>
    <row r="10" spans="1:16" ht="13.5" thickBot="1"/>
    <row r="11" spans="1:16" ht="12.75" customHeight="1" thickBot="1">
      <c r="A11" s="8" t="str">
        <f t="shared" ref="A11:A26" si="0">P11</f>
        <v>BAVM 209 </v>
      </c>
      <c r="B11" s="3" t="str">
        <f t="shared" ref="B11:B26" si="1">IF(H11=INT(H11),"I","II")</f>
        <v>I</v>
      </c>
      <c r="C11" s="8">
        <f t="shared" ref="C11:C26" si="2">1*G11</f>
        <v>54924.393300000003</v>
      </c>
      <c r="D11" s="10" t="str">
        <f t="shared" ref="D11:D26" si="3">VLOOKUP(F11,I$1:J$5,2,FALSE)</f>
        <v>vis</v>
      </c>
      <c r="E11" s="49">
        <f>VLOOKUP(C11,Active!C$21:E$971,3,FALSE)</f>
        <v>7110.8614517273363</v>
      </c>
      <c r="F11" s="3" t="s">
        <v>62</v>
      </c>
      <c r="G11" s="10" t="str">
        <f t="shared" ref="G11:G26" si="4">MID(I11,3,LEN(I11)-3)</f>
        <v>54924.3933</v>
      </c>
      <c r="H11" s="8">
        <f t="shared" ref="H11:H26" si="5">1*K11</f>
        <v>0</v>
      </c>
      <c r="I11" s="50" t="s">
        <v>74</v>
      </c>
      <c r="J11" s="51" t="s">
        <v>75</v>
      </c>
      <c r="K11" s="50">
        <v>0</v>
      </c>
      <c r="L11" s="50" t="s">
        <v>76</v>
      </c>
      <c r="M11" s="51" t="s">
        <v>67</v>
      </c>
      <c r="N11" s="51" t="s">
        <v>77</v>
      </c>
      <c r="O11" s="52" t="s">
        <v>78</v>
      </c>
      <c r="P11" s="53" t="s">
        <v>79</v>
      </c>
    </row>
    <row r="12" spans="1:16" ht="12.75" customHeight="1" thickBot="1">
      <c r="A12" s="8" t="str">
        <f t="shared" si="0"/>
        <v>BAVM 209 </v>
      </c>
      <c r="B12" s="3" t="str">
        <f t="shared" si="1"/>
        <v>II</v>
      </c>
      <c r="C12" s="8">
        <f t="shared" si="2"/>
        <v>54924.5841</v>
      </c>
      <c r="D12" s="10" t="str">
        <f t="shared" si="3"/>
        <v>vis</v>
      </c>
      <c r="E12" s="49">
        <f>VLOOKUP(C12,Active!C$21:E$971,3,FALSE)</f>
        <v>7111.3801005221758</v>
      </c>
      <c r="F12" s="3" t="s">
        <v>62</v>
      </c>
      <c r="G12" s="10" t="str">
        <f t="shared" si="4"/>
        <v>54924.5841</v>
      </c>
      <c r="H12" s="8">
        <f t="shared" si="5"/>
        <v>0.5</v>
      </c>
      <c r="I12" s="50" t="s">
        <v>80</v>
      </c>
      <c r="J12" s="51" t="s">
        <v>81</v>
      </c>
      <c r="K12" s="50" t="s">
        <v>82</v>
      </c>
      <c r="L12" s="50" t="s">
        <v>83</v>
      </c>
      <c r="M12" s="51" t="s">
        <v>67</v>
      </c>
      <c r="N12" s="51" t="s">
        <v>77</v>
      </c>
      <c r="O12" s="52" t="s">
        <v>78</v>
      </c>
      <c r="P12" s="53" t="s">
        <v>79</v>
      </c>
    </row>
    <row r="13" spans="1:16" ht="12.75" customHeight="1" thickBot="1">
      <c r="A13" s="8" t="str">
        <f t="shared" si="0"/>
        <v>BAVM 209 </v>
      </c>
      <c r="B13" s="3" t="str">
        <f t="shared" si="1"/>
        <v>II</v>
      </c>
      <c r="C13" s="8">
        <f t="shared" si="2"/>
        <v>54941.503799999999</v>
      </c>
      <c r="D13" s="10" t="str">
        <f t="shared" si="3"/>
        <v>vis</v>
      </c>
      <c r="E13" s="49">
        <f>VLOOKUP(C13,Active!C$21:E$971,3,FALSE)</f>
        <v>7157.3726687307408</v>
      </c>
      <c r="F13" s="3" t="s">
        <v>62</v>
      </c>
      <c r="G13" s="10" t="str">
        <f t="shared" si="4"/>
        <v>54941.5038</v>
      </c>
      <c r="H13" s="8">
        <f t="shared" si="5"/>
        <v>46.5</v>
      </c>
      <c r="I13" s="50" t="s">
        <v>84</v>
      </c>
      <c r="J13" s="51" t="s">
        <v>85</v>
      </c>
      <c r="K13" s="50" t="s">
        <v>86</v>
      </c>
      <c r="L13" s="50" t="s">
        <v>87</v>
      </c>
      <c r="M13" s="51" t="s">
        <v>67</v>
      </c>
      <c r="N13" s="51" t="s">
        <v>77</v>
      </c>
      <c r="O13" s="52" t="s">
        <v>78</v>
      </c>
      <c r="P13" s="53" t="s">
        <v>79</v>
      </c>
    </row>
    <row r="14" spans="1:16" ht="12.75" customHeight="1" thickBot="1">
      <c r="A14" s="8" t="str">
        <f t="shared" si="0"/>
        <v>BAVM 220 </v>
      </c>
      <c r="B14" s="3" t="str">
        <f t="shared" si="1"/>
        <v>I</v>
      </c>
      <c r="C14" s="8">
        <f t="shared" si="2"/>
        <v>55624.4476</v>
      </c>
      <c r="D14" s="10" t="str">
        <f t="shared" si="3"/>
        <v>vis</v>
      </c>
      <c r="E14" s="49">
        <f>VLOOKUP(C14,Active!C$21:E$971,3,FALSE)</f>
        <v>9013.8086164200649</v>
      </c>
      <c r="F14" s="3" t="s">
        <v>62</v>
      </c>
      <c r="G14" s="10" t="str">
        <f t="shared" si="4"/>
        <v>55624.4476</v>
      </c>
      <c r="H14" s="8">
        <f t="shared" si="5"/>
        <v>1903</v>
      </c>
      <c r="I14" s="50" t="s">
        <v>88</v>
      </c>
      <c r="J14" s="51" t="s">
        <v>89</v>
      </c>
      <c r="K14" s="50" t="s">
        <v>90</v>
      </c>
      <c r="L14" s="50" t="s">
        <v>91</v>
      </c>
      <c r="M14" s="51" t="s">
        <v>67</v>
      </c>
      <c r="N14" s="51" t="s">
        <v>77</v>
      </c>
      <c r="O14" s="52" t="s">
        <v>78</v>
      </c>
      <c r="P14" s="53" t="s">
        <v>92</v>
      </c>
    </row>
    <row r="15" spans="1:16" ht="12.75" customHeight="1" thickBot="1">
      <c r="A15" s="8" t="str">
        <f t="shared" si="0"/>
        <v>BAVM 220 </v>
      </c>
      <c r="B15" s="3" t="str">
        <f t="shared" si="1"/>
        <v>II</v>
      </c>
      <c r="C15" s="8">
        <f t="shared" si="2"/>
        <v>55624.634299999998</v>
      </c>
      <c r="D15" s="10" t="str">
        <f t="shared" si="3"/>
        <v>vis</v>
      </c>
      <c r="E15" s="49">
        <f>VLOOKUP(C15,Active!C$21:E$971,3,FALSE)</f>
        <v>9014.3161202460469</v>
      </c>
      <c r="F15" s="3" t="s">
        <v>62</v>
      </c>
      <c r="G15" s="10" t="str">
        <f t="shared" si="4"/>
        <v>55624.6343</v>
      </c>
      <c r="H15" s="8">
        <f t="shared" si="5"/>
        <v>1903.5</v>
      </c>
      <c r="I15" s="50" t="s">
        <v>93</v>
      </c>
      <c r="J15" s="51" t="s">
        <v>94</v>
      </c>
      <c r="K15" s="50" t="s">
        <v>95</v>
      </c>
      <c r="L15" s="50" t="s">
        <v>96</v>
      </c>
      <c r="M15" s="51" t="s">
        <v>67</v>
      </c>
      <c r="N15" s="51" t="s">
        <v>77</v>
      </c>
      <c r="O15" s="52" t="s">
        <v>78</v>
      </c>
      <c r="P15" s="53" t="s">
        <v>92</v>
      </c>
    </row>
    <row r="16" spans="1:16" ht="12.75" customHeight="1" thickBot="1">
      <c r="A16" s="8" t="str">
        <f t="shared" si="0"/>
        <v>BAVM 220 </v>
      </c>
      <c r="B16" s="3" t="str">
        <f t="shared" si="1"/>
        <v>I</v>
      </c>
      <c r="C16" s="8">
        <f t="shared" si="2"/>
        <v>55661.603000000003</v>
      </c>
      <c r="D16" s="10" t="str">
        <f t="shared" si="3"/>
        <v>vis</v>
      </c>
      <c r="E16" s="49">
        <f>VLOOKUP(C16,Active!C$21:E$971,3,FALSE)</f>
        <v>9114.8075861900252</v>
      </c>
      <c r="F16" s="3" t="s">
        <v>62</v>
      </c>
      <c r="G16" s="10" t="str">
        <f t="shared" si="4"/>
        <v>55661.6030</v>
      </c>
      <c r="H16" s="8">
        <f t="shared" si="5"/>
        <v>2004</v>
      </c>
      <c r="I16" s="50" t="s">
        <v>97</v>
      </c>
      <c r="J16" s="51" t="s">
        <v>98</v>
      </c>
      <c r="K16" s="50" t="s">
        <v>99</v>
      </c>
      <c r="L16" s="50" t="s">
        <v>100</v>
      </c>
      <c r="M16" s="51" t="s">
        <v>67</v>
      </c>
      <c r="N16" s="51" t="s">
        <v>77</v>
      </c>
      <c r="O16" s="52" t="s">
        <v>78</v>
      </c>
      <c r="P16" s="53" t="s">
        <v>92</v>
      </c>
    </row>
    <row r="17" spans="1:16" ht="12.75" customHeight="1" thickBot="1">
      <c r="A17" s="8" t="str">
        <f t="shared" si="0"/>
        <v>OEJV 0160 </v>
      </c>
      <c r="B17" s="3" t="str">
        <f t="shared" si="1"/>
        <v>II</v>
      </c>
      <c r="C17" s="8">
        <f t="shared" si="2"/>
        <v>55689.377610000003</v>
      </c>
      <c r="D17" s="10" t="str">
        <f t="shared" si="3"/>
        <v>vis</v>
      </c>
      <c r="E17" s="49">
        <f>VLOOKUP(C17,Active!C$21:E$971,3,FALSE)</f>
        <v>9190.306894386471</v>
      </c>
      <c r="F17" s="3" t="s">
        <v>62</v>
      </c>
      <c r="G17" s="10" t="str">
        <f t="shared" si="4"/>
        <v>55689.37761</v>
      </c>
      <c r="H17" s="8">
        <f t="shared" si="5"/>
        <v>2079.5</v>
      </c>
      <c r="I17" s="50" t="s">
        <v>101</v>
      </c>
      <c r="J17" s="51" t="s">
        <v>102</v>
      </c>
      <c r="K17" s="50" t="s">
        <v>103</v>
      </c>
      <c r="L17" s="50" t="s">
        <v>104</v>
      </c>
      <c r="M17" s="51" t="s">
        <v>67</v>
      </c>
      <c r="N17" s="51" t="s">
        <v>105</v>
      </c>
      <c r="O17" s="52" t="s">
        <v>106</v>
      </c>
      <c r="P17" s="53" t="s">
        <v>107</v>
      </c>
    </row>
    <row r="18" spans="1:16" ht="12.75" customHeight="1" thickBot="1">
      <c r="A18" s="8" t="str">
        <f t="shared" si="0"/>
        <v>OEJV 0160 </v>
      </c>
      <c r="B18" s="3" t="str">
        <f t="shared" si="1"/>
        <v>II</v>
      </c>
      <c r="C18" s="8">
        <f t="shared" si="2"/>
        <v>55700.41302</v>
      </c>
      <c r="D18" s="10" t="str">
        <f t="shared" si="3"/>
        <v>vis</v>
      </c>
      <c r="E18" s="49">
        <f>VLOOKUP(C18,Active!C$21:E$971,3,FALSE)</f>
        <v>9220.3042848327768</v>
      </c>
      <c r="F18" s="3" t="s">
        <v>62</v>
      </c>
      <c r="G18" s="10" t="str">
        <f t="shared" si="4"/>
        <v>55700.41302</v>
      </c>
      <c r="H18" s="8">
        <f t="shared" si="5"/>
        <v>2109.5</v>
      </c>
      <c r="I18" s="50" t="s">
        <v>108</v>
      </c>
      <c r="J18" s="51" t="s">
        <v>109</v>
      </c>
      <c r="K18" s="50" t="s">
        <v>110</v>
      </c>
      <c r="L18" s="50" t="s">
        <v>111</v>
      </c>
      <c r="M18" s="51" t="s">
        <v>67</v>
      </c>
      <c r="N18" s="51" t="s">
        <v>39</v>
      </c>
      <c r="O18" s="52" t="s">
        <v>112</v>
      </c>
      <c r="P18" s="53" t="s">
        <v>107</v>
      </c>
    </row>
    <row r="19" spans="1:16" ht="12.75" customHeight="1" thickBot="1">
      <c r="A19" s="8" t="str">
        <f t="shared" si="0"/>
        <v>OEJV 0160 </v>
      </c>
      <c r="B19" s="3" t="str">
        <f t="shared" si="1"/>
        <v>II</v>
      </c>
      <c r="C19" s="8">
        <f t="shared" si="2"/>
        <v>55700.413419999997</v>
      </c>
      <c r="D19" s="10" t="str">
        <f t="shared" si="3"/>
        <v>vis</v>
      </c>
      <c r="E19" s="49">
        <f>VLOOKUP(C19,Active!C$21:E$971,3,FALSE)</f>
        <v>9220.3053721468059</v>
      </c>
      <c r="F19" s="3" t="s">
        <v>62</v>
      </c>
      <c r="G19" s="10" t="str">
        <f t="shared" si="4"/>
        <v>55700.41342</v>
      </c>
      <c r="H19" s="8">
        <f t="shared" si="5"/>
        <v>2109.5</v>
      </c>
      <c r="I19" s="50" t="s">
        <v>113</v>
      </c>
      <c r="J19" s="51" t="s">
        <v>114</v>
      </c>
      <c r="K19" s="50" t="s">
        <v>110</v>
      </c>
      <c r="L19" s="50" t="s">
        <v>115</v>
      </c>
      <c r="M19" s="51" t="s">
        <v>67</v>
      </c>
      <c r="N19" s="51" t="s">
        <v>105</v>
      </c>
      <c r="O19" s="52" t="s">
        <v>112</v>
      </c>
      <c r="P19" s="53" t="s">
        <v>107</v>
      </c>
    </row>
    <row r="20" spans="1:16" ht="12.75" customHeight="1" thickBot="1">
      <c r="A20" s="8" t="str">
        <f t="shared" si="0"/>
        <v>OEJV 0160 </v>
      </c>
      <c r="B20" s="3" t="str">
        <f t="shared" si="1"/>
        <v>I</v>
      </c>
      <c r="C20" s="8">
        <f t="shared" si="2"/>
        <v>55705.376239999998</v>
      </c>
      <c r="D20" s="10" t="str">
        <f t="shared" si="3"/>
        <v>vis</v>
      </c>
      <c r="E20" s="49">
        <f>VLOOKUP(C20,Active!C$21:E$971,3,FALSE)</f>
        <v>9233.7957317487417</v>
      </c>
      <c r="F20" s="3" t="s">
        <v>62</v>
      </c>
      <c r="G20" s="10" t="str">
        <f t="shared" si="4"/>
        <v>55705.37624</v>
      </c>
      <c r="H20" s="8">
        <f t="shared" si="5"/>
        <v>2123</v>
      </c>
      <c r="I20" s="50" t="s">
        <v>116</v>
      </c>
      <c r="J20" s="51" t="s">
        <v>117</v>
      </c>
      <c r="K20" s="50" t="s">
        <v>118</v>
      </c>
      <c r="L20" s="50" t="s">
        <v>119</v>
      </c>
      <c r="M20" s="51" t="s">
        <v>67</v>
      </c>
      <c r="N20" s="51" t="s">
        <v>105</v>
      </c>
      <c r="O20" s="52" t="s">
        <v>106</v>
      </c>
      <c r="P20" s="53" t="s">
        <v>107</v>
      </c>
    </row>
    <row r="21" spans="1:16" ht="12.75" customHeight="1" thickBot="1">
      <c r="A21" s="8" t="str">
        <f t="shared" si="0"/>
        <v>OEJV 0160 </v>
      </c>
      <c r="B21" s="3" t="str">
        <f t="shared" si="1"/>
        <v>I</v>
      </c>
      <c r="C21" s="8">
        <f t="shared" si="2"/>
        <v>55956.628199999999</v>
      </c>
      <c r="D21" s="10" t="str">
        <f t="shared" si="3"/>
        <v>vis</v>
      </c>
      <c r="E21" s="49">
        <f>VLOOKUP(C21,Active!C$21:E$971,3,FALSE)</f>
        <v>9916.770188023771</v>
      </c>
      <c r="F21" s="3" t="s">
        <v>62</v>
      </c>
      <c r="G21" s="10" t="str">
        <f t="shared" si="4"/>
        <v>55956.6282</v>
      </c>
      <c r="H21" s="8">
        <f t="shared" si="5"/>
        <v>2806</v>
      </c>
      <c r="I21" s="50" t="s">
        <v>120</v>
      </c>
      <c r="J21" s="51" t="s">
        <v>121</v>
      </c>
      <c r="K21" s="50" t="s">
        <v>122</v>
      </c>
      <c r="L21" s="50" t="s">
        <v>123</v>
      </c>
      <c r="M21" s="51" t="s">
        <v>67</v>
      </c>
      <c r="N21" s="51" t="s">
        <v>105</v>
      </c>
      <c r="O21" s="52" t="s">
        <v>106</v>
      </c>
      <c r="P21" s="53" t="s">
        <v>107</v>
      </c>
    </row>
    <row r="22" spans="1:16" ht="12.75" customHeight="1" thickBot="1">
      <c r="A22" s="8" t="str">
        <f t="shared" si="0"/>
        <v>BAVM 238 </v>
      </c>
      <c r="B22" s="3" t="str">
        <f t="shared" si="1"/>
        <v>I</v>
      </c>
      <c r="C22" s="8">
        <f t="shared" si="2"/>
        <v>56770.347300000001</v>
      </c>
      <c r="D22" s="10" t="str">
        <f t="shared" si="3"/>
        <v>vis</v>
      </c>
      <c r="E22" s="49">
        <f>VLOOKUP(C22,Active!C$21:E$971,3,FALSE)</f>
        <v>12128.690683621513</v>
      </c>
      <c r="F22" s="3" t="s">
        <v>62</v>
      </c>
      <c r="G22" s="10" t="str">
        <f t="shared" si="4"/>
        <v>56770.3473</v>
      </c>
      <c r="H22" s="8">
        <f t="shared" si="5"/>
        <v>5018</v>
      </c>
      <c r="I22" s="50" t="s">
        <v>130</v>
      </c>
      <c r="J22" s="51" t="s">
        <v>131</v>
      </c>
      <c r="K22" s="50" t="s">
        <v>132</v>
      </c>
      <c r="L22" s="50" t="s">
        <v>133</v>
      </c>
      <c r="M22" s="51" t="s">
        <v>67</v>
      </c>
      <c r="N22" s="51" t="s">
        <v>128</v>
      </c>
      <c r="O22" s="52" t="s">
        <v>134</v>
      </c>
      <c r="P22" s="53" t="s">
        <v>135</v>
      </c>
    </row>
    <row r="23" spans="1:16" ht="12.75" customHeight="1" thickBot="1">
      <c r="A23" s="8" t="str">
        <f t="shared" si="0"/>
        <v>OEJV 0073 </v>
      </c>
      <c r="B23" s="3" t="str">
        <f t="shared" si="1"/>
        <v>I</v>
      </c>
      <c r="C23" s="8">
        <f t="shared" si="2"/>
        <v>54239.434999999998</v>
      </c>
      <c r="D23" s="10" t="str">
        <f t="shared" si="3"/>
        <v>vis</v>
      </c>
      <c r="E23" s="49" t="e">
        <f>VLOOKUP(C23,Active!C$21:E$971,3,FALSE)</f>
        <v>#N/A</v>
      </c>
      <c r="F23" s="3" t="s">
        <v>62</v>
      </c>
      <c r="G23" s="10" t="str">
        <f t="shared" si="4"/>
        <v>54239.435</v>
      </c>
      <c r="H23" s="8">
        <f t="shared" si="5"/>
        <v>-1862</v>
      </c>
      <c r="I23" s="50" t="s">
        <v>64</v>
      </c>
      <c r="J23" s="51" t="s">
        <v>65</v>
      </c>
      <c r="K23" s="50">
        <v>-1862</v>
      </c>
      <c r="L23" s="50" t="s">
        <v>66</v>
      </c>
      <c r="M23" s="51" t="s">
        <v>67</v>
      </c>
      <c r="N23" s="51" t="s">
        <v>68</v>
      </c>
      <c r="O23" s="52" t="s">
        <v>69</v>
      </c>
      <c r="P23" s="53" t="s">
        <v>70</v>
      </c>
    </row>
    <row r="24" spans="1:16" ht="12.75" customHeight="1" thickBot="1">
      <c r="A24" s="8" t="str">
        <f t="shared" si="0"/>
        <v>OEJV 0073 </v>
      </c>
      <c r="B24" s="3" t="str">
        <f t="shared" si="1"/>
        <v>I</v>
      </c>
      <c r="C24" s="8">
        <f t="shared" si="2"/>
        <v>54263.341</v>
      </c>
      <c r="D24" s="10" t="str">
        <f t="shared" si="3"/>
        <v>vis</v>
      </c>
      <c r="E24" s="49" t="e">
        <f>VLOOKUP(C24,Active!C$21:E$971,3,FALSE)</f>
        <v>#N/A</v>
      </c>
      <c r="F24" s="3" t="s">
        <v>62</v>
      </c>
      <c r="G24" s="10" t="str">
        <f t="shared" si="4"/>
        <v>54263.341</v>
      </c>
      <c r="H24" s="8">
        <f t="shared" si="5"/>
        <v>-1797</v>
      </c>
      <c r="I24" s="50" t="s">
        <v>71</v>
      </c>
      <c r="J24" s="51" t="s">
        <v>72</v>
      </c>
      <c r="K24" s="50">
        <v>-1797</v>
      </c>
      <c r="L24" s="50" t="s">
        <v>73</v>
      </c>
      <c r="M24" s="51" t="s">
        <v>67</v>
      </c>
      <c r="N24" s="51" t="s">
        <v>68</v>
      </c>
      <c r="O24" s="52" t="s">
        <v>69</v>
      </c>
      <c r="P24" s="53" t="s">
        <v>70</v>
      </c>
    </row>
    <row r="25" spans="1:16" ht="12.75" customHeight="1" thickBot="1">
      <c r="A25" s="8" t="str">
        <f t="shared" si="0"/>
        <v>OEJV 0162 </v>
      </c>
      <c r="B25" s="3" t="str">
        <f t="shared" si="1"/>
        <v>I</v>
      </c>
      <c r="C25" s="8">
        <f t="shared" si="2"/>
        <v>56000.04</v>
      </c>
      <c r="D25" s="10" t="str">
        <f t="shared" si="3"/>
        <v>vis</v>
      </c>
      <c r="E25" s="49">
        <f>VLOOKUP(C25,Active!C$21:E$971,3,FALSE)</f>
        <v>10034.775836620189</v>
      </c>
      <c r="F25" s="3" t="s">
        <v>62</v>
      </c>
      <c r="G25" s="10" t="str">
        <f t="shared" si="4"/>
        <v>56000.040</v>
      </c>
      <c r="H25" s="8">
        <f t="shared" si="5"/>
        <v>2924</v>
      </c>
      <c r="I25" s="50" t="s">
        <v>124</v>
      </c>
      <c r="J25" s="51" t="s">
        <v>125</v>
      </c>
      <c r="K25" s="50" t="s">
        <v>126</v>
      </c>
      <c r="L25" s="50" t="s">
        <v>127</v>
      </c>
      <c r="M25" s="51" t="s">
        <v>67</v>
      </c>
      <c r="N25" s="51" t="s">
        <v>128</v>
      </c>
      <c r="O25" s="52" t="s">
        <v>69</v>
      </c>
      <c r="P25" s="53" t="s">
        <v>129</v>
      </c>
    </row>
    <row r="26" spans="1:16" ht="12.75" customHeight="1" thickBot="1">
      <c r="A26" s="8" t="str">
        <f t="shared" si="0"/>
        <v>BAVM 241 (=IBVS 6157) </v>
      </c>
      <c r="B26" s="3" t="str">
        <f t="shared" si="1"/>
        <v>I</v>
      </c>
      <c r="C26" s="8">
        <f t="shared" si="2"/>
        <v>57119.448900000003</v>
      </c>
      <c r="D26" s="10" t="str">
        <f t="shared" si="3"/>
        <v>vis</v>
      </c>
      <c r="E26" s="49">
        <f>VLOOKUP(C26,Active!C$21:E$971,3,FALSE)</f>
        <v>13077.648357204409</v>
      </c>
      <c r="F26" s="3" t="s">
        <v>62</v>
      </c>
      <c r="G26" s="10" t="str">
        <f t="shared" si="4"/>
        <v>57119.4489</v>
      </c>
      <c r="H26" s="8">
        <f t="shared" si="5"/>
        <v>5967</v>
      </c>
      <c r="I26" s="50" t="s">
        <v>136</v>
      </c>
      <c r="J26" s="51" t="s">
        <v>137</v>
      </c>
      <c r="K26" s="50" t="s">
        <v>138</v>
      </c>
      <c r="L26" s="50" t="s">
        <v>139</v>
      </c>
      <c r="M26" s="51" t="s">
        <v>67</v>
      </c>
      <c r="N26" s="51" t="s">
        <v>128</v>
      </c>
      <c r="O26" s="52" t="s">
        <v>134</v>
      </c>
      <c r="P26" s="53" t="s">
        <v>140</v>
      </c>
    </row>
    <row r="27" spans="1:16">
      <c r="B27" s="3"/>
      <c r="F27" s="3"/>
    </row>
    <row r="28" spans="1:16">
      <c r="B28" s="3"/>
      <c r="F28" s="3"/>
    </row>
    <row r="29" spans="1:16">
      <c r="B29" s="3"/>
      <c r="F29" s="3"/>
    </row>
    <row r="30" spans="1:16">
      <c r="B30" s="3"/>
      <c r="F30" s="3"/>
    </row>
    <row r="31" spans="1:16">
      <c r="B31" s="3"/>
      <c r="F31" s="3"/>
    </row>
    <row r="32" spans="1:1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</sheetData>
  <phoneticPr fontId="8" type="noConversion"/>
  <hyperlinks>
    <hyperlink ref="A3" r:id="rId1"/>
    <hyperlink ref="P23" r:id="rId2" display="http://var.astro.cz/oejv/issues/oejv0073.pdf"/>
    <hyperlink ref="P24" r:id="rId3" display="http://var.astro.cz/oejv/issues/oejv0073.pdf"/>
    <hyperlink ref="P11" r:id="rId4" display="http://www.bav-astro.de/sfs/BAVM_link.php?BAVMnr=209"/>
    <hyperlink ref="P12" r:id="rId5" display="http://www.bav-astro.de/sfs/BAVM_link.php?BAVMnr=209"/>
    <hyperlink ref="P13" r:id="rId6" display="http://www.bav-astro.de/sfs/BAVM_link.php?BAVMnr=209"/>
    <hyperlink ref="P14" r:id="rId7" display="http://www.bav-astro.de/sfs/BAVM_link.php?BAVMnr=220"/>
    <hyperlink ref="P15" r:id="rId8" display="http://www.bav-astro.de/sfs/BAVM_link.php?BAVMnr=220"/>
    <hyperlink ref="P16" r:id="rId9" display="http://www.bav-astro.de/sfs/BAVM_link.php?BAVMnr=220"/>
    <hyperlink ref="P17" r:id="rId10" display="http://var.astro.cz/oejv/issues/oejv0160.pdf"/>
    <hyperlink ref="P18" r:id="rId11" display="http://var.astro.cz/oejv/issues/oejv0160.pdf"/>
    <hyperlink ref="P19" r:id="rId12" display="http://var.astro.cz/oejv/issues/oejv0160.pdf"/>
    <hyperlink ref="P20" r:id="rId13" display="http://var.astro.cz/oejv/issues/oejv0160.pdf"/>
    <hyperlink ref="P21" r:id="rId14" display="http://var.astro.cz/oejv/issues/oejv0160.pdf"/>
    <hyperlink ref="P25" r:id="rId15" display="http://var.astro.cz/oejv/issues/oejv0162.pdf"/>
    <hyperlink ref="P22" r:id="rId16" display="http://www.bav-astro.de/sfs/BAVM_link.php?BAVMnr=238"/>
    <hyperlink ref="P26" r:id="rId1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2024-01-15T04:33:49Z</dcterms:modified>
</cp:coreProperties>
</file>