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65D8863-EA95-42A9-A21C-9AF73DC326B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K26" i="1"/>
  <c r="E27" i="1"/>
  <c r="F27" i="1"/>
  <c r="E29" i="1"/>
  <c r="F29" i="1"/>
  <c r="G29" i="1"/>
  <c r="K29" i="1"/>
  <c r="Q26" i="1"/>
  <c r="Q27" i="1"/>
  <c r="Q28" i="1"/>
  <c r="Q29" i="1"/>
  <c r="G14" i="2"/>
  <c r="C14" i="2"/>
  <c r="G13" i="2"/>
  <c r="C13" i="2"/>
  <c r="E13" i="2"/>
  <c r="G12" i="2"/>
  <c r="C12" i="2"/>
  <c r="E12" i="2"/>
  <c r="G11" i="2"/>
  <c r="C11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E25" i="1"/>
  <c r="E14" i="2"/>
  <c r="F25" i="1"/>
  <c r="C9" i="1"/>
  <c r="D9" i="1"/>
  <c r="Q25" i="1"/>
  <c r="F23" i="1"/>
  <c r="G23" i="1"/>
  <c r="J23" i="1"/>
  <c r="F24" i="1"/>
  <c r="E23" i="1"/>
  <c r="E24" i="1"/>
  <c r="G24" i="1"/>
  <c r="J24" i="1"/>
  <c r="Q22" i="1"/>
  <c r="Q23" i="1"/>
  <c r="Q24" i="1"/>
  <c r="C7" i="1"/>
  <c r="C8" i="1"/>
  <c r="E21" i="1"/>
  <c r="F21" i="1"/>
  <c r="G21" i="1"/>
  <c r="F16" i="1"/>
  <c r="F17" i="1" s="1"/>
  <c r="C17" i="1"/>
  <c r="I21" i="1"/>
  <c r="Q21" i="1"/>
  <c r="G27" i="1"/>
  <c r="K27" i="1"/>
  <c r="E22" i="1"/>
  <c r="E28" i="1"/>
  <c r="F28" i="1"/>
  <c r="G28" i="1"/>
  <c r="K28" i="1"/>
  <c r="G25" i="1"/>
  <c r="J25" i="1"/>
  <c r="F22" i="1"/>
  <c r="G22" i="1"/>
  <c r="E11" i="2"/>
  <c r="J22" i="1"/>
  <c r="C12" i="1"/>
  <c r="C11" i="1"/>
  <c r="O23" i="1" l="1"/>
  <c r="O25" i="1"/>
  <c r="O28" i="1"/>
  <c r="O22" i="1"/>
  <c r="O27" i="1"/>
  <c r="O24" i="1"/>
  <c r="O29" i="1"/>
  <c r="C15" i="1"/>
  <c r="O26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<sst xmlns="http://schemas.openxmlformats.org/spreadsheetml/2006/main" count="115" uniqueCount="83">
  <si>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</si>
  <si>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</si>
  <si>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</si>
  <si>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</si>
  <si>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</si>
  <si>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</si>
  <si>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</si>
  <si>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</si>
  <si>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</si>
  <si>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</si>
  <si>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</si>
  <si>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</si>
  <si>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</si>
  <si>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</si>
  <si>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</si>
  <si>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</si>
  <si>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</si>
  <si>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</si>
  <si>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</si>
  <si>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</si>
  <si>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</si>
  <si>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</si>
  <si>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</si>
  <si>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</si>
  <si>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</si>
  <si>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</si>
  <si>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</si>
  <si>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</si>
  <si>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</si>
  <si>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</si>
  <si>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</si>
  <si>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</si>
  <si>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</si>
  <si>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</si>
  <si>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</si>
  <si>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</si>
  <si>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</si>
  <si>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</si>
  <si>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GX Boo / GSC 2006-0449</t>
  </si>
  <si>
    <t>EW?</t>
  </si>
  <si>
    <t>IBVS 5918</t>
  </si>
  <si>
    <t>I</t>
  </si>
  <si>
    <t>IBVS 5959</t>
  </si>
  <si>
    <t>II</t>
  </si>
  <si>
    <t>IBVS 6010</t>
  </si>
  <si>
    <t>IBVS 6048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</si>
  <si>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</si>
  <si>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</si>
  <si>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</si>
  <si>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</si>
  <si>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</si>
  <si>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</si>
  <si>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</si>
  <si>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</si>
  <si>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</si>
  <si>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</si>
  <si>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</si>
  <si>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2454924.4414 </t>
  </si>
  <si>
    <t> 02.04.2009 22:35 </t>
  </si>
  <si>
    <t> -0.0366 </t>
  </si>
  <si>
    <t>C </t>
  </si>
  <si>
    <t>-I</t>
  </si>
  <si>
    <t> F.Agerer </t>
  </si>
  <si>
    <t>BAVM 209 </t>
  </si>
  <si>
    <t>2455310.5412 </t>
  </si>
  <si>
    <t> 24.04.2010 00:59 </t>
  </si>
  <si>
    <t>10258.5</t>
  </si>
  <si>
    <t> -0.0017 </t>
  </si>
  <si>
    <t>BAVM 214 </t>
  </si>
  <si>
    <t>2455686.5466 </t>
  </si>
  <si>
    <t> 05.05.2011 01:07 </t>
  </si>
  <si>
    <t>11228</t>
  </si>
  <si>
    <t> 0.0219 </t>
  </si>
  <si>
    <t>BAVM 220 </t>
  </si>
  <si>
    <t>2456006.5113 </t>
  </si>
  <si>
    <t> 20.03.2012 00:16 </t>
  </si>
  <si>
    <t>12053</t>
  </si>
  <si>
    <t> 0.0434 </t>
  </si>
  <si>
    <t>o</t>
  </si>
  <si>
    <t> W.Moschner &amp; P.Frank </t>
  </si>
  <si>
    <t>BAVM 228 </t>
  </si>
  <si>
    <t>OEJV 0179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</si>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</sst>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1" fillId="24" borderId="0" xfId="0" applyFont="1" applyFill="1" applyAlignment="1"/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7" fillId="25" borderId="17" xfId="38" applyFill="1" applyBorder="1" applyAlignment="1" applyProtection="1">
      <alignment horizontal="right" vertical="top" wrapText="1"/>
    </xf>
    <xf numFmtId="0" fontId="33" fillId="0" borderId="0" xfId="42" applyFont="1" applyAlignment="1">
      <alignment wrapText="1"/>
    </xf>
    <xf numFmtId="0" fontId="33" fillId="0" borderId="0" xfId="42" applyFont="1" applyAlignment="1">
      <alignment horizontal="center" wrapText="1"/>
    </xf>
    <xf numFmtId="0" fontId="33" fillId="0" borderId="0" xfId="42" applyFont="1" applyAlignment="1">
      <alignment horizontal="left" wrapText="1"/>
    </xf>
    <xf numFmtId="0" fontId="33" fillId="0" borderId="0" xfId="43" applyFont="1"/>
    <xf numFmtId="0" fontId="33" fillId="0" borderId="0" xfId="43" applyFont="1" applyAlignment="1">
      <alignment horizontal="center"/>
    </xf>
    <xf numFmtId="0" fontId="33" fillId="0" borderId="0" xfId="43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34" fillId="26" borderId="0" xfId="0" applyFont="1" applyFill="1" applyAlignment="1"/>
    <xf numFmtId="0" fontId="33" fillId="0" borderId="0" xfId="42" applyNumberFormat="1" applyFont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GX Boo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9262</c:v>
                </c:pt>
                <c:pt idx="2">
                  <c:v>10257.5</c:v>
                </c:pt>
                <c:pt idx="3">
                  <c:v>11227</c:v>
                </c:pt>
                <c:pt idx="4">
                  <c:v>12052</c:v>
                </c:pt>
                <c:pt idx="5">
                  <c:v>15816.5</c:v>
                </c:pt>
                <c:pt idx="6">
                  <c:v>14875.5</c:v>
                </c:pt>
                <c:pt idx="7">
                  <c:v>14957.5</c:v>
                </c:pt>
                <c:pt idx="8">
                  <c:v>15814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58-4037-B1CE-A2AD7820962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9262</c:v>
                </c:pt>
                <c:pt idx="2">
                  <c:v>10257.5</c:v>
                </c:pt>
                <c:pt idx="3">
                  <c:v>11227</c:v>
                </c:pt>
                <c:pt idx="4">
                  <c:v>12052</c:v>
                </c:pt>
                <c:pt idx="5">
                  <c:v>15816.5</c:v>
                </c:pt>
                <c:pt idx="6">
                  <c:v>14875.5</c:v>
                </c:pt>
                <c:pt idx="7">
                  <c:v>14957.5</c:v>
                </c:pt>
                <c:pt idx="8">
                  <c:v>15814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58-4037-B1CE-A2AD7820962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9262</c:v>
                </c:pt>
                <c:pt idx="2">
                  <c:v>10257.5</c:v>
                </c:pt>
                <c:pt idx="3">
                  <c:v>11227</c:v>
                </c:pt>
                <c:pt idx="4">
                  <c:v>12052</c:v>
                </c:pt>
                <c:pt idx="5">
                  <c:v>15816.5</c:v>
                </c:pt>
                <c:pt idx="6">
                  <c:v>14875.5</c:v>
                </c:pt>
                <c:pt idx="7">
                  <c:v>14957.5</c:v>
                </c:pt>
                <c:pt idx="8">
                  <c:v>15814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0.35117999999783933</c:v>
                </c:pt>
                <c:pt idx="2">
                  <c:v>0.38612499999726424</c:v>
                </c:pt>
                <c:pt idx="3">
                  <c:v>0.4097299999993993</c:v>
                </c:pt>
                <c:pt idx="4">
                  <c:v>0.4311799999923096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58-4037-B1CE-A2AD7820962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9262</c:v>
                </c:pt>
                <c:pt idx="2">
                  <c:v>10257.5</c:v>
                </c:pt>
                <c:pt idx="3">
                  <c:v>11227</c:v>
                </c:pt>
                <c:pt idx="4">
                  <c:v>12052</c:v>
                </c:pt>
                <c:pt idx="5">
                  <c:v>15816.5</c:v>
                </c:pt>
                <c:pt idx="6">
                  <c:v>14875.5</c:v>
                </c:pt>
                <c:pt idx="7">
                  <c:v>14957.5</c:v>
                </c:pt>
                <c:pt idx="8">
                  <c:v>15814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0.54503500000282656</c:v>
                </c:pt>
                <c:pt idx="6">
                  <c:v>0.51363499999570195</c:v>
                </c:pt>
                <c:pt idx="7">
                  <c:v>0.51399499999388354</c:v>
                </c:pt>
                <c:pt idx="8">
                  <c:v>0.55488999999215594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58-4037-B1CE-A2AD7820962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9262</c:v>
                </c:pt>
                <c:pt idx="2">
                  <c:v>10257.5</c:v>
                </c:pt>
                <c:pt idx="3">
                  <c:v>11227</c:v>
                </c:pt>
                <c:pt idx="4">
                  <c:v>12052</c:v>
                </c:pt>
                <c:pt idx="5">
                  <c:v>15816.5</c:v>
                </c:pt>
                <c:pt idx="6">
                  <c:v>14875.5</c:v>
                </c:pt>
                <c:pt idx="7">
                  <c:v>14957.5</c:v>
                </c:pt>
                <c:pt idx="8">
                  <c:v>15814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58-4037-B1CE-A2AD7820962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9262</c:v>
                </c:pt>
                <c:pt idx="2">
                  <c:v>10257.5</c:v>
                </c:pt>
                <c:pt idx="3">
                  <c:v>11227</c:v>
                </c:pt>
                <c:pt idx="4">
                  <c:v>12052</c:v>
                </c:pt>
                <c:pt idx="5">
                  <c:v>15816.5</c:v>
                </c:pt>
                <c:pt idx="6">
                  <c:v>14875.5</c:v>
                </c:pt>
                <c:pt idx="7">
                  <c:v>14957.5</c:v>
                </c:pt>
                <c:pt idx="8">
                  <c:v>15814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58-4037-B1CE-A2AD7820962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2.5000000000000001E-3</c:v>
                  </c:pt>
                  <c:pt idx="2">
                    <c:v>4.1999999999999997E-3</c:v>
                  </c:pt>
                  <c:pt idx="3">
                    <c:v>1.0699999999999999E-2</c:v>
                  </c:pt>
                  <c:pt idx="4">
                    <c:v>1E-3</c:v>
                  </c:pt>
                  <c:pt idx="5">
                    <c:v>7.7000000000000002E-3</c:v>
                  </c:pt>
                  <c:pt idx="6">
                    <c:v>1.2999999999999999E-3</c:v>
                  </c:pt>
                  <c:pt idx="7">
                    <c:v>1E-3</c:v>
                  </c:pt>
                  <c:pt idx="8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9262</c:v>
                </c:pt>
                <c:pt idx="2">
                  <c:v>10257.5</c:v>
                </c:pt>
                <c:pt idx="3">
                  <c:v>11227</c:v>
                </c:pt>
                <c:pt idx="4">
                  <c:v>12052</c:v>
                </c:pt>
                <c:pt idx="5">
                  <c:v>15816.5</c:v>
                </c:pt>
                <c:pt idx="6">
                  <c:v>14875.5</c:v>
                </c:pt>
                <c:pt idx="7">
                  <c:v>14957.5</c:v>
                </c:pt>
                <c:pt idx="8">
                  <c:v>15814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58-4037-B1CE-A2AD7820962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9262</c:v>
                </c:pt>
                <c:pt idx="2">
                  <c:v>10257.5</c:v>
                </c:pt>
                <c:pt idx="3">
                  <c:v>11227</c:v>
                </c:pt>
                <c:pt idx="4">
                  <c:v>12052</c:v>
                </c:pt>
                <c:pt idx="5">
                  <c:v>15816.5</c:v>
                </c:pt>
                <c:pt idx="6">
                  <c:v>14875.5</c:v>
                </c:pt>
                <c:pt idx="7">
                  <c:v>14957.5</c:v>
                </c:pt>
                <c:pt idx="8">
                  <c:v>15814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7.8673441597041927E-2</c:v>
                </c:pt>
                <c:pt idx="1">
                  <c:v>0.35196049163598714</c:v>
                </c:pt>
                <c:pt idx="2">
                  <c:v>0.38133398098102816</c:v>
                </c:pt>
                <c:pt idx="3">
                  <c:v>0.40994030736979487</c:v>
                </c:pt>
                <c:pt idx="4">
                  <c:v>0.43428297809772942</c:v>
                </c:pt>
                <c:pt idx="5">
                  <c:v>0.54535932228598349</c:v>
                </c:pt>
                <c:pt idx="6">
                  <c:v>0.51759392452236364</c:v>
                </c:pt>
                <c:pt idx="7">
                  <c:v>0.52001343846138259</c:v>
                </c:pt>
                <c:pt idx="8">
                  <c:v>0.54528555661711098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58-4037-B1CE-A2AD78209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292664"/>
        <c:axId val="1"/>
      </c:scatterChart>
      <c:valAx>
        <c:axId val="668292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292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809C59-CD16-A58C-90A5-FB7CFA7F9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35" sqref="E3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25</v>
      </c>
      <c r="B2" t="s">
        <v>39</v>
      </c>
      <c r="D2" s="3"/>
    </row>
    <row r="3" spans="1:6" ht="13.5" thickBot="1" x14ac:dyDescent="0.25"/>
    <row r="4" spans="1:6" ht="14.25" thickTop="1" thickBot="1" x14ac:dyDescent="0.25">
      <c r="A4" s="5" t="s">
        <v>1</v>
      </c>
      <c r="C4" s="8">
        <v>51332.194000000003</v>
      </c>
      <c r="D4" s="9">
        <v>0.38780999999999999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51332.194000000003</v>
      </c>
    </row>
    <row r="8" spans="1:6" x14ac:dyDescent="0.2">
      <c r="A8" t="s">
        <v>4</v>
      </c>
      <c r="C8">
        <f>+D4</f>
        <v>0.38780999999999999</v>
      </c>
    </row>
    <row r="9" spans="1:6" x14ac:dyDescent="0.2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6" x14ac:dyDescent="0.2">
      <c r="A11" s="12" t="s">
        <v>17</v>
      </c>
      <c r="B11" s="12"/>
      <c r="C11" s="23">
        <f ca="1">INTERCEPT(INDIRECT($D$9):G992,INDIRECT($C$9):F992)</f>
        <v>7.8673441597041927E-2</v>
      </c>
      <c r="D11" s="3"/>
      <c r="E11" s="12"/>
    </row>
    <row r="12" spans="1:6" x14ac:dyDescent="0.2">
      <c r="A12" s="12" t="s">
        <v>18</v>
      </c>
      <c r="B12" s="12"/>
      <c r="C12" s="23">
        <f ca="1">SLOPE(INDIRECT($D$9):G992,INDIRECT($C$9):F992)</f>
        <v>2.9506267549011576E-5</v>
      </c>
      <c r="D12" s="3"/>
      <c r="E12" s="12"/>
    </row>
    <row r="13" spans="1:6" x14ac:dyDescent="0.2">
      <c r="A13" s="12" t="s">
        <v>20</v>
      </c>
      <c r="B13" s="12"/>
      <c r="C13" s="3" t="s">
        <v>15</v>
      </c>
    </row>
    <row r="14" spans="1:6" x14ac:dyDescent="0.2">
      <c r="A14" s="12"/>
      <c r="B14" s="12"/>
      <c r="C14" s="12"/>
    </row>
    <row r="15" spans="1:6" x14ac:dyDescent="0.2">
      <c r="A15" s="14" t="s">
        <v>19</v>
      </c>
      <c r="B15" s="12"/>
      <c r="C15" s="15">
        <f ca="1">(C7+C11)+(C8+C12)*INT(MAX(F21:F3533))</f>
        <v>57466.342304569152</v>
      </c>
      <c r="E15" s="16" t="s">
        <v>35</v>
      </c>
      <c r="F15" s="13">
        <v>1</v>
      </c>
    </row>
    <row r="16" spans="1:6" x14ac:dyDescent="0.2">
      <c r="A16" s="18" t="s">
        <v>5</v>
      </c>
      <c r="B16" s="12"/>
      <c r="C16" s="19">
        <f ca="1">+C8+C12</f>
        <v>0.38783950626754898</v>
      </c>
      <c r="E16" s="16" t="s">
        <v>32</v>
      </c>
      <c r="F16" s="17">
        <f ca="1">NOW()+15018.5+$C$5/24</f>
        <v>60324.732641782408</v>
      </c>
    </row>
    <row r="17" spans="1:18" ht="13.5" thickBot="1" x14ac:dyDescent="0.25">
      <c r="A17" s="16" t="s">
        <v>29</v>
      </c>
      <c r="B17" s="12"/>
      <c r="C17" s="12">
        <f>COUNT(C21:C2191)</f>
        <v>9</v>
      </c>
      <c r="E17" s="16" t="s">
        <v>36</v>
      </c>
      <c r="F17" s="17">
        <f ca="1">ROUND(2*(F16-$C$7)/$C$8,0)/2+F15</f>
        <v>23189</v>
      </c>
    </row>
    <row r="18" spans="1:18" ht="14.25" thickTop="1" thickBot="1" x14ac:dyDescent="0.25">
      <c r="A18" s="18" t="s">
        <v>6</v>
      </c>
      <c r="B18" s="12"/>
      <c r="C18" s="21">
        <f ca="1">+C15</f>
        <v>57466.342304569152</v>
      </c>
      <c r="D18" s="22">
        <f ca="1">+C16</f>
        <v>0.38783950626754898</v>
      </c>
      <c r="E18" s="16" t="s">
        <v>37</v>
      </c>
      <c r="F18" s="25">
        <f ca="1">ROUND(2*(F16-$C$15)/$C$16,0)/2+F15</f>
        <v>7371</v>
      </c>
    </row>
    <row r="19" spans="1:18" ht="13.5" thickTop="1" x14ac:dyDescent="0.2">
      <c r="E19" s="16" t="s">
        <v>33</v>
      </c>
      <c r="F19" s="20">
        <f ca="1">+$C$15+$C$16*F18-15018.5-$C$5/24</f>
        <v>45307.003138600594</v>
      </c>
    </row>
    <row r="20" spans="1:18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53</v>
      </c>
      <c r="I20" s="7" t="s">
        <v>56</v>
      </c>
      <c r="J20" s="7" t="s">
        <v>50</v>
      </c>
      <c r="K20" s="7" t="s">
        <v>48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</row>
    <row r="21" spans="1:18" x14ac:dyDescent="0.2">
      <c r="A21" s="29" t="s">
        <v>13</v>
      </c>
      <c r="B21" s="29"/>
      <c r="C21" s="30">
        <v>51332.194000000003</v>
      </c>
      <c r="D21" s="30" t="s">
        <v>15</v>
      </c>
      <c r="E21" s="29">
        <f t="shared" ref="E21:E29" si="0">+(C21-C$7)/C$8</f>
        <v>0</v>
      </c>
      <c r="F21">
        <f>ROUND(2*E21,0)/2</f>
        <v>0</v>
      </c>
      <c r="G21">
        <f t="shared" ref="G21:G29" si="1">+C21-(C$7+F21*C$8)</f>
        <v>0</v>
      </c>
      <c r="I21">
        <f>+G21</f>
        <v>0</v>
      </c>
      <c r="O21">
        <f t="shared" ref="O21:O29" ca="1" si="2">+C$11+C$12*$F21</f>
        <v>7.8673441597041927E-2</v>
      </c>
      <c r="Q21" s="2">
        <f t="shared" ref="Q21:Q29" si="3">+C21-15018.5</f>
        <v>36313.694000000003</v>
      </c>
    </row>
    <row r="22" spans="1:18" x14ac:dyDescent="0.2">
      <c r="A22" s="31" t="s">
        <v>40</v>
      </c>
      <c r="B22" s="32" t="s">
        <v>41</v>
      </c>
      <c r="C22" s="31">
        <v>54924.441400000003</v>
      </c>
      <c r="D22" s="31">
        <v>2.5000000000000001E-3</v>
      </c>
      <c r="E22" s="29">
        <f t="shared" si="0"/>
        <v>9262.9055465305191</v>
      </c>
      <c r="F22" s="28">
        <f>ROUND(2*E22,0)/2-1</f>
        <v>9262</v>
      </c>
      <c r="G22">
        <f t="shared" si="1"/>
        <v>0.35117999999783933</v>
      </c>
      <c r="J22">
        <f>+G22</f>
        <v>0.35117999999783933</v>
      </c>
      <c r="O22">
        <f t="shared" ca="1" si="2"/>
        <v>0.35196049163598714</v>
      </c>
      <c r="Q22" s="2">
        <f t="shared" si="3"/>
        <v>39905.941400000003</v>
      </c>
      <c r="R22" t="s">
        <v>50</v>
      </c>
    </row>
    <row r="23" spans="1:18" x14ac:dyDescent="0.2">
      <c r="A23" s="31" t="s">
        <v>42</v>
      </c>
      <c r="B23" s="32" t="s">
        <v>43</v>
      </c>
      <c r="C23" s="31">
        <v>55310.5412</v>
      </c>
      <c r="D23" s="31">
        <v>4.1999999999999997E-3</v>
      </c>
      <c r="E23" s="29">
        <f t="shared" si="0"/>
        <v>10258.495655088824</v>
      </c>
      <c r="F23" s="28">
        <f>ROUND(2*E23,0)/2-1</f>
        <v>10257.5</v>
      </c>
      <c r="G23">
        <f t="shared" si="1"/>
        <v>0.38612499999726424</v>
      </c>
      <c r="J23">
        <f>+G23</f>
        <v>0.38612499999726424</v>
      </c>
      <c r="O23">
        <f t="shared" ca="1" si="2"/>
        <v>0.38133398098102816</v>
      </c>
      <c r="Q23" s="2">
        <f t="shared" si="3"/>
        <v>40292.0412</v>
      </c>
      <c r="R23" t="s">
        <v>50</v>
      </c>
    </row>
    <row r="24" spans="1:18" x14ac:dyDescent="0.2">
      <c r="A24" s="31" t="s">
        <v>44</v>
      </c>
      <c r="B24" s="32" t="s">
        <v>41</v>
      </c>
      <c r="C24" s="31">
        <v>55686.546600000001</v>
      </c>
      <c r="D24" s="31">
        <v>1.0699999999999999E-2</v>
      </c>
      <c r="E24" s="29">
        <f t="shared" si="0"/>
        <v>11228.056522523912</v>
      </c>
      <c r="F24" s="28">
        <f>ROUND(2*E24,0)/2-1</f>
        <v>11227</v>
      </c>
      <c r="G24">
        <f t="shared" si="1"/>
        <v>0.4097299999993993</v>
      </c>
      <c r="J24">
        <f>+G24</f>
        <v>0.4097299999993993</v>
      </c>
      <c r="O24">
        <f t="shared" ca="1" si="2"/>
        <v>0.40994030736979487</v>
      </c>
      <c r="Q24" s="2">
        <f t="shared" si="3"/>
        <v>40668.046600000001</v>
      </c>
      <c r="R24" t="s">
        <v>50</v>
      </c>
    </row>
    <row r="25" spans="1:18" x14ac:dyDescent="0.2">
      <c r="A25" s="52" t="s">
        <v>45</v>
      </c>
      <c r="B25" s="53" t="s">
        <v>41</v>
      </c>
      <c r="C25" s="30">
        <v>56006.511299999998</v>
      </c>
      <c r="D25" s="30">
        <v>1E-3</v>
      </c>
      <c r="E25" s="29">
        <f t="shared" si="0"/>
        <v>12053.111833114142</v>
      </c>
      <c r="F25" s="28">
        <f>ROUND(2*E25,0)/2-1</f>
        <v>12052</v>
      </c>
      <c r="G25">
        <f t="shared" si="1"/>
        <v>0.4311799999923096</v>
      </c>
      <c r="J25">
        <f>+G25</f>
        <v>0.4311799999923096</v>
      </c>
      <c r="O25">
        <f t="shared" ca="1" si="2"/>
        <v>0.43428297809772942</v>
      </c>
      <c r="Q25" s="2">
        <f t="shared" si="3"/>
        <v>40988.011299999998</v>
      </c>
      <c r="R25" t="s">
        <v>50</v>
      </c>
    </row>
    <row r="26" spans="1:18" x14ac:dyDescent="0.2">
      <c r="A26" s="46" t="s">
        <v>0</v>
      </c>
      <c r="B26" s="47" t="s">
        <v>41</v>
      </c>
      <c r="C26" s="48">
        <v>57466.535900000003</v>
      </c>
      <c r="D26" s="55">
        <v>7.7000000000000002E-3</v>
      </c>
      <c r="E26" s="29">
        <f t="shared" si="0"/>
        <v>15817.905417601401</v>
      </c>
      <c r="F26" s="54">
        <f>ROUND(2*E26,0)/2-1.5</f>
        <v>15816.5</v>
      </c>
      <c r="G26">
        <f t="shared" si="1"/>
        <v>0.54503500000282656</v>
      </c>
      <c r="K26">
        <f>+G26</f>
        <v>0.54503500000282656</v>
      </c>
      <c r="O26">
        <f t="shared" ca="1" si="2"/>
        <v>0.54535932228598349</v>
      </c>
      <c r="Q26" s="2">
        <f t="shared" si="3"/>
        <v>42448.035900000003</v>
      </c>
      <c r="R26" t="s">
        <v>82</v>
      </c>
    </row>
    <row r="27" spans="1:18" x14ac:dyDescent="0.2">
      <c r="A27" s="49" t="s">
        <v>81</v>
      </c>
      <c r="B27" s="50" t="s">
        <v>41</v>
      </c>
      <c r="C27" s="51">
        <v>57101.575290000001</v>
      </c>
      <c r="D27" s="51">
        <v>1.2999999999999999E-3</v>
      </c>
      <c r="E27" s="29">
        <f t="shared" si="0"/>
        <v>14876.824450117319</v>
      </c>
      <c r="F27" s="54">
        <f>ROUND(2*E27,0)/2-1.5</f>
        <v>14875.5</v>
      </c>
      <c r="G27">
        <f t="shared" si="1"/>
        <v>0.51363499999570195</v>
      </c>
      <c r="K27">
        <f>+G27</f>
        <v>0.51363499999570195</v>
      </c>
      <c r="O27">
        <f t="shared" ca="1" si="2"/>
        <v>0.51759392452236364</v>
      </c>
      <c r="Q27" s="2">
        <f t="shared" si="3"/>
        <v>42083.075290000001</v>
      </c>
      <c r="R27" t="s">
        <v>48</v>
      </c>
    </row>
    <row r="28" spans="1:18" x14ac:dyDescent="0.2">
      <c r="A28" s="49" t="s">
        <v>81</v>
      </c>
      <c r="B28" s="50" t="s">
        <v>41</v>
      </c>
      <c r="C28" s="51">
        <v>57133.376069999998</v>
      </c>
      <c r="D28" s="51">
        <v>1E-3</v>
      </c>
      <c r="E28" s="29">
        <f t="shared" si="0"/>
        <v>14958.82537840694</v>
      </c>
      <c r="F28" s="54">
        <f>ROUND(2*E28,0)/2-1.5</f>
        <v>14957.5</v>
      </c>
      <c r="G28">
        <f t="shared" si="1"/>
        <v>0.51399499999388354</v>
      </c>
      <c r="K28">
        <f>+G28</f>
        <v>0.51399499999388354</v>
      </c>
      <c r="O28">
        <f t="shared" ca="1" si="2"/>
        <v>0.52001343846138259</v>
      </c>
      <c r="Q28" s="2">
        <f t="shared" si="3"/>
        <v>42114.876069999998</v>
      </c>
      <c r="R28" t="s">
        <v>48</v>
      </c>
    </row>
    <row r="29" spans="1:18" x14ac:dyDescent="0.2">
      <c r="A29" s="49" t="s">
        <v>81</v>
      </c>
      <c r="B29" s="50" t="s">
        <v>43</v>
      </c>
      <c r="C29" s="51">
        <v>57465.576229999999</v>
      </c>
      <c r="D29" s="51">
        <v>8.9999999999999998E-4</v>
      </c>
      <c r="E29" s="29">
        <f t="shared" si="0"/>
        <v>15815.430829529914</v>
      </c>
      <c r="F29" s="54">
        <f>ROUND(2*E29,0)/2-1.5</f>
        <v>15814</v>
      </c>
      <c r="G29">
        <f t="shared" si="1"/>
        <v>0.55488999999215594</v>
      </c>
      <c r="K29">
        <f>+G29</f>
        <v>0.55488999999215594</v>
      </c>
      <c r="O29">
        <f t="shared" ca="1" si="2"/>
        <v>0.54528555661711098</v>
      </c>
      <c r="Q29" s="2">
        <f t="shared" si="3"/>
        <v>42447.076229999999</v>
      </c>
      <c r="R29" t="s">
        <v>48</v>
      </c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hyperlinks>
    <hyperlink ref="H2897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732"/>
  <sheetViews>
    <sheetView workbookViewId="0"/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46</v>
      </c>
      <c r="I1" s="34" t="s">
        <v>47</v>
      </c>
      <c r="J1" s="35" t="s">
        <v>48</v>
      </c>
    </row>
    <row r="2" spans="1:16" x14ac:dyDescent="0.2">
      <c r="I2" s="36" t="s">
        <v>49</v>
      </c>
      <c r="J2" s="37" t="s">
        <v>50</v>
      </c>
    </row>
    <row r="3" spans="1:16" x14ac:dyDescent="0.2">
      <c r="A3" s="38" t="s">
        <v>51</v>
      </c>
      <c r="I3" s="36" t="s">
        <v>52</v>
      </c>
      <c r="J3" s="37" t="s">
        <v>53</v>
      </c>
    </row>
    <row r="4" spans="1:16" x14ac:dyDescent="0.2">
      <c r="I4" s="36" t="s">
        <v>54</v>
      </c>
      <c r="J4" s="37" t="s">
        <v>53</v>
      </c>
    </row>
    <row r="5" spans="1:16" ht="13.5" thickBot="1" x14ac:dyDescent="0.25">
      <c r="I5" s="39" t="s">
        <v>55</v>
      </c>
      <c r="J5" s="40" t="s">
        <v>56</v>
      </c>
    </row>
    <row r="10" spans="1:16" ht="13.5" thickBot="1" x14ac:dyDescent="0.25"/>
    <row r="11" spans="1:16" ht="12.75" customHeight="1" thickBot="1" x14ac:dyDescent="0.25">
      <c r="A11" s="10" t="str">
        <f>P11</f>
        <v>BAVM 209 </v>
      </c>
      <c r="B11" s="3" t="str">
        <f>IF(H11=INT(H11),"I","II")</f>
        <v>I</v>
      </c>
      <c r="C11" s="10">
        <f>1*G11</f>
        <v>54924.441400000003</v>
      </c>
      <c r="D11" s="12" t="str">
        <f>VLOOKUP(F11,I$1:J$5,2,FALSE)</f>
        <v>vis</v>
      </c>
      <c r="E11" s="41">
        <f>VLOOKUP(C11,Active!C$21:E$973,3,FALSE)</f>
        <v>9262.9055465305191</v>
      </c>
      <c r="F11" s="3" t="s">
        <v>55</v>
      </c>
      <c r="G11" s="12" t="str">
        <f>MID(I11,3,LEN(I11)-3)</f>
        <v>54924.4414</v>
      </c>
      <c r="H11" s="10">
        <f>1*K11</f>
        <v>9263</v>
      </c>
      <c r="I11" s="42" t="s">
        <v>57</v>
      </c>
      <c r="J11" s="43" t="s">
        <v>58</v>
      </c>
      <c r="K11" s="42">
        <v>9263</v>
      </c>
      <c r="L11" s="42" t="s">
        <v>59</v>
      </c>
      <c r="M11" s="43" t="s">
        <v>60</v>
      </c>
      <c r="N11" s="43" t="s">
        <v>61</v>
      </c>
      <c r="O11" s="44" t="s">
        <v>62</v>
      </c>
      <c r="P11" s="45" t="s">
        <v>63</v>
      </c>
    </row>
    <row r="12" spans="1:16" ht="12.75" customHeight="1" thickBot="1" x14ac:dyDescent="0.25">
      <c r="A12" s="10" t="str">
        <f>P12</f>
        <v>BAVM 214 </v>
      </c>
      <c r="B12" s="3" t="str">
        <f>IF(H12=INT(H12),"I","II")</f>
        <v>II</v>
      </c>
      <c r="C12" s="10">
        <f>1*G12</f>
        <v>55310.5412</v>
      </c>
      <c r="D12" s="12" t="str">
        <f>VLOOKUP(F12,I$1:J$5,2,FALSE)</f>
        <v>vis</v>
      </c>
      <c r="E12" s="41">
        <f>VLOOKUP(C12,Active!C$21:E$973,3,FALSE)</f>
        <v>10258.495655088824</v>
      </c>
      <c r="F12" s="3" t="s">
        <v>55</v>
      </c>
      <c r="G12" s="12" t="str">
        <f>MID(I12,3,LEN(I12)-3)</f>
        <v>55310.5412</v>
      </c>
      <c r="H12" s="10">
        <f>1*K12</f>
        <v>10258.5</v>
      </c>
      <c r="I12" s="42" t="s">
        <v>64</v>
      </c>
      <c r="J12" s="43" t="s">
        <v>65</v>
      </c>
      <c r="K12" s="42" t="s">
        <v>66</v>
      </c>
      <c r="L12" s="42" t="s">
        <v>67</v>
      </c>
      <c r="M12" s="43" t="s">
        <v>60</v>
      </c>
      <c r="N12" s="43" t="s">
        <v>61</v>
      </c>
      <c r="O12" s="44" t="s">
        <v>62</v>
      </c>
      <c r="P12" s="45" t="s">
        <v>68</v>
      </c>
    </row>
    <row r="13" spans="1:16" ht="12.75" customHeight="1" thickBot="1" x14ac:dyDescent="0.25">
      <c r="A13" s="10" t="str">
        <f>P13</f>
        <v>BAVM 220 </v>
      </c>
      <c r="B13" s="3" t="str">
        <f>IF(H13=INT(H13),"I","II")</f>
        <v>I</v>
      </c>
      <c r="C13" s="10">
        <f>1*G13</f>
        <v>55686.546600000001</v>
      </c>
      <c r="D13" s="12" t="str">
        <f>VLOOKUP(F13,I$1:J$5,2,FALSE)</f>
        <v>vis</v>
      </c>
      <c r="E13" s="41">
        <f>VLOOKUP(C13,Active!C$21:E$973,3,FALSE)</f>
        <v>11228.056522523912</v>
      </c>
      <c r="F13" s="3" t="s">
        <v>55</v>
      </c>
      <c r="G13" s="12" t="str">
        <f>MID(I13,3,LEN(I13)-3)</f>
        <v>55686.5466</v>
      </c>
      <c r="H13" s="10">
        <f>1*K13</f>
        <v>11228</v>
      </c>
      <c r="I13" s="42" t="s">
        <v>69</v>
      </c>
      <c r="J13" s="43" t="s">
        <v>70</v>
      </c>
      <c r="K13" s="42" t="s">
        <v>71</v>
      </c>
      <c r="L13" s="42" t="s">
        <v>72</v>
      </c>
      <c r="M13" s="43" t="s">
        <v>60</v>
      </c>
      <c r="N13" s="43" t="s">
        <v>61</v>
      </c>
      <c r="O13" s="44" t="s">
        <v>62</v>
      </c>
      <c r="P13" s="45" t="s">
        <v>73</v>
      </c>
    </row>
    <row r="14" spans="1:16" ht="12.75" customHeight="1" thickBot="1" x14ac:dyDescent="0.25">
      <c r="A14" s="10" t="str">
        <f>P14</f>
        <v>BAVM 228 </v>
      </c>
      <c r="B14" s="3" t="str">
        <f>IF(H14=INT(H14),"I","II")</f>
        <v>I</v>
      </c>
      <c r="C14" s="10">
        <f>1*G14</f>
        <v>56006.511299999998</v>
      </c>
      <c r="D14" s="12" t="str">
        <f>VLOOKUP(F14,I$1:J$5,2,FALSE)</f>
        <v>vis</v>
      </c>
      <c r="E14" s="41">
        <f>VLOOKUP(C14,Active!C$21:E$973,3,FALSE)</f>
        <v>12053.111833114142</v>
      </c>
      <c r="F14" s="3" t="s">
        <v>55</v>
      </c>
      <c r="G14" s="12" t="str">
        <f>MID(I14,3,LEN(I14)-3)</f>
        <v>56006.5113</v>
      </c>
      <c r="H14" s="10">
        <f>1*K14</f>
        <v>12053</v>
      </c>
      <c r="I14" s="42" t="s">
        <v>74</v>
      </c>
      <c r="J14" s="43" t="s">
        <v>75</v>
      </c>
      <c r="K14" s="42" t="s">
        <v>76</v>
      </c>
      <c r="L14" s="42" t="s">
        <v>77</v>
      </c>
      <c r="M14" s="43" t="s">
        <v>60</v>
      </c>
      <c r="N14" s="43" t="s">
        <v>78</v>
      </c>
      <c r="O14" s="44" t="s">
        <v>79</v>
      </c>
      <c r="P14" s="45" t="s">
        <v>80</v>
      </c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</sheetData>
  <phoneticPr fontId="8" type="noConversion"/>
  <hyperlinks>
    <hyperlink ref="A3" r:id="rId1"/>
    <hyperlink ref="P11" r:id="rId2" display="http://www.bav-astro.de/sfs/BAVM_link.php?BAVMnr=209"/>
    <hyperlink ref="P12" r:id="rId3" display="http://www.bav-astro.de/sfs/BAVM_link.php?BAVMnr=214"/>
    <hyperlink ref="P13" r:id="rId4" display="http://www.bav-astro.de/sfs/BAVM_link.php?BAVMnr=220"/>
    <hyperlink ref="P14" r:id="rId5" display="http://www.bav-astro.de/sfs/BAVM_link.php?BAVMnr=228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2024-01-15T04:35:00Z</dcterms:modified>
</cp:coreProperties>
</file>