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2FE97DD-06F3-4A34-916D-26A08CD9991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73" i="1" l="1"/>
  <c r="Q72" i="1"/>
  <c r="Q71" i="1"/>
  <c r="D9" i="1"/>
  <c r="C9" i="1"/>
  <c r="Q70" i="1"/>
  <c r="Q69" i="1"/>
  <c r="E69" i="1"/>
  <c r="F69" i="1"/>
  <c r="K69" i="1"/>
  <c r="C7" i="1"/>
  <c r="C8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68" i="1"/>
  <c r="G57" i="2"/>
  <c r="C57" i="2"/>
  <c r="E57" i="2"/>
  <c r="G20" i="2"/>
  <c r="C20" i="2"/>
  <c r="E20" i="2"/>
  <c r="G19" i="2"/>
  <c r="C19" i="2"/>
  <c r="E19" i="2"/>
  <c r="G18" i="2"/>
  <c r="C18" i="2"/>
  <c r="E18" i="2"/>
  <c r="G17" i="2"/>
  <c r="C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H57" i="2"/>
  <c r="B57" i="2"/>
  <c r="D57" i="2"/>
  <c r="A57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Q67" i="1"/>
  <c r="Q66" i="1"/>
  <c r="Q63" i="1"/>
  <c r="Q64" i="1"/>
  <c r="F16" i="1"/>
  <c r="C17" i="1"/>
  <c r="Q65" i="1"/>
  <c r="Q62" i="1"/>
  <c r="Q61" i="1"/>
  <c r="Q58" i="1"/>
  <c r="Q59" i="1"/>
  <c r="Q60" i="1"/>
  <c r="Q21" i="1"/>
  <c r="E41" i="1"/>
  <c r="E59" i="1"/>
  <c r="F59" i="1"/>
  <c r="I59" i="1"/>
  <c r="E50" i="1"/>
  <c r="F50" i="1"/>
  <c r="G50" i="1"/>
  <c r="E46" i="1"/>
  <c r="F46" i="1"/>
  <c r="E42" i="1"/>
  <c r="F42" i="1"/>
  <c r="H42" i="1"/>
  <c r="E38" i="1"/>
  <c r="F38" i="1"/>
  <c r="E34" i="1"/>
  <c r="F34" i="1"/>
  <c r="H34" i="1"/>
  <c r="E30" i="1"/>
  <c r="F30" i="1"/>
  <c r="E26" i="1"/>
  <c r="F26" i="1"/>
  <c r="H26" i="1"/>
  <c r="E56" i="1"/>
  <c r="F56" i="1"/>
  <c r="E53" i="1"/>
  <c r="F53" i="1"/>
  <c r="I53" i="1"/>
  <c r="E63" i="1"/>
  <c r="F63" i="1"/>
  <c r="K63" i="1"/>
  <c r="E58" i="1"/>
  <c r="F58" i="1"/>
  <c r="I58" i="1"/>
  <c r="E49" i="1"/>
  <c r="F49" i="1"/>
  <c r="I49" i="1"/>
  <c r="E45" i="1"/>
  <c r="F45" i="1"/>
  <c r="F41" i="1"/>
  <c r="H41" i="1"/>
  <c r="E37" i="1"/>
  <c r="F37" i="1"/>
  <c r="H37" i="1"/>
  <c r="E33" i="1"/>
  <c r="F33" i="1"/>
  <c r="E29" i="1"/>
  <c r="F29" i="1"/>
  <c r="H29" i="1"/>
  <c r="E25" i="1"/>
  <c r="F25" i="1"/>
  <c r="E22" i="1"/>
  <c r="F22" i="1"/>
  <c r="G22" i="1"/>
  <c r="E52" i="1"/>
  <c r="F52" i="1"/>
  <c r="E61" i="1"/>
  <c r="F61" i="1"/>
  <c r="E68" i="1"/>
  <c r="F68" i="1"/>
  <c r="E67" i="1"/>
  <c r="F67" i="1"/>
  <c r="E65" i="1"/>
  <c r="F65" i="1"/>
  <c r="E62" i="1"/>
  <c r="F62" i="1"/>
  <c r="E57" i="1"/>
  <c r="F57" i="1"/>
  <c r="I57" i="1"/>
  <c r="E48" i="1"/>
  <c r="F48" i="1"/>
  <c r="E44" i="1"/>
  <c r="F44" i="1"/>
  <c r="E40" i="1"/>
  <c r="E36" i="1"/>
  <c r="E32" i="1"/>
  <c r="E28" i="1"/>
  <c r="F28" i="1"/>
  <c r="E24" i="1"/>
  <c r="F24" i="1"/>
  <c r="E55" i="1"/>
  <c r="F55" i="1"/>
  <c r="E66" i="1"/>
  <c r="F66" i="1"/>
  <c r="K66" i="1"/>
  <c r="E60" i="1"/>
  <c r="F60" i="1"/>
  <c r="I60" i="1"/>
  <c r="E51" i="1"/>
  <c r="F51" i="1"/>
  <c r="E47" i="1"/>
  <c r="E43" i="1"/>
  <c r="F43" i="1"/>
  <c r="G41" i="1"/>
  <c r="E39" i="1"/>
  <c r="F39" i="1"/>
  <c r="E35" i="1"/>
  <c r="E31" i="1"/>
  <c r="E27" i="1"/>
  <c r="F27" i="1"/>
  <c r="E23" i="1"/>
  <c r="F23" i="1"/>
  <c r="E54" i="1"/>
  <c r="F54" i="1"/>
  <c r="I54" i="1"/>
  <c r="G49" i="1"/>
  <c r="F35" i="1"/>
  <c r="H35" i="1"/>
  <c r="F40" i="1"/>
  <c r="F31" i="1"/>
  <c r="H31" i="1"/>
  <c r="F47" i="1"/>
  <c r="I47" i="1"/>
  <c r="G29" i="1"/>
  <c r="G26" i="1"/>
  <c r="G42" i="1"/>
  <c r="G54" i="1"/>
  <c r="F32" i="1"/>
  <c r="H32" i="1"/>
  <c r="F36" i="1"/>
  <c r="G36" i="1"/>
  <c r="H36" i="1"/>
  <c r="G47" i="1"/>
  <c r="G35" i="1"/>
  <c r="H40" i="1"/>
  <c r="G40" i="1"/>
  <c r="G32" i="1"/>
  <c r="H27" i="1"/>
  <c r="G27" i="1"/>
  <c r="I44" i="1"/>
  <c r="G44" i="1"/>
  <c r="G38" i="1"/>
  <c r="H38" i="1"/>
  <c r="H33" i="1"/>
  <c r="G33" i="1"/>
  <c r="G52" i="1"/>
  <c r="I52" i="1"/>
  <c r="I48" i="1"/>
  <c r="G48" i="1"/>
  <c r="I55" i="1"/>
  <c r="G55" i="1"/>
  <c r="J56" i="1"/>
  <c r="G56" i="1"/>
  <c r="H39" i="1"/>
  <c r="G39" i="1"/>
  <c r="H24" i="1"/>
  <c r="G24" i="1"/>
  <c r="H25" i="1"/>
  <c r="G25" i="1"/>
  <c r="G45" i="1"/>
  <c r="I45" i="1"/>
  <c r="G46" i="1"/>
  <c r="I46" i="1"/>
  <c r="H28" i="1"/>
  <c r="G28" i="1"/>
  <c r="H43" i="1"/>
  <c r="G43" i="1"/>
  <c r="H30" i="1"/>
  <c r="G30" i="1"/>
  <c r="H23" i="1"/>
  <c r="G23" i="1"/>
  <c r="I51" i="1"/>
  <c r="G51" i="1"/>
  <c r="G57" i="1"/>
  <c r="G31" i="1"/>
  <c r="G34" i="1"/>
  <c r="G71" i="1"/>
  <c r="G68" i="1"/>
  <c r="J68" i="1"/>
  <c r="G60" i="1"/>
  <c r="I70" i="1"/>
  <c r="K72" i="1"/>
  <c r="G53" i="1"/>
  <c r="H22" i="1"/>
  <c r="I50" i="1"/>
  <c r="E71" i="1"/>
  <c r="F71" i="1"/>
  <c r="G67" i="1"/>
  <c r="J67" i="1"/>
  <c r="G63" i="1"/>
  <c r="G59" i="1"/>
  <c r="E73" i="1"/>
  <c r="F73" i="1"/>
  <c r="G73" i="1"/>
  <c r="E21" i="1"/>
  <c r="F21" i="1"/>
  <c r="I21" i="1"/>
  <c r="G70" i="1"/>
  <c r="G72" i="1"/>
  <c r="G37" i="1"/>
  <c r="I71" i="1"/>
  <c r="G66" i="1"/>
  <c r="G62" i="1"/>
  <c r="J62" i="1"/>
  <c r="G58" i="1"/>
  <c r="K73" i="1"/>
  <c r="E64" i="1"/>
  <c r="F64" i="1"/>
  <c r="K64" i="1"/>
  <c r="E70" i="1"/>
  <c r="F70" i="1"/>
  <c r="E72" i="1"/>
  <c r="F72" i="1"/>
  <c r="G69" i="1"/>
  <c r="G65" i="1"/>
  <c r="J65" i="1"/>
  <c r="G61" i="1"/>
  <c r="E17" i="2"/>
  <c r="J61" i="1"/>
  <c r="G64" i="1"/>
  <c r="C12" i="1"/>
  <c r="C11" i="1"/>
  <c r="C15" i="1" l="1"/>
  <c r="O21" i="1"/>
  <c r="O39" i="1"/>
  <c r="O68" i="1"/>
  <c r="O61" i="1"/>
  <c r="O65" i="1"/>
  <c r="O54" i="1"/>
  <c r="O59" i="1"/>
  <c r="O53" i="1"/>
  <c r="O52" i="1"/>
  <c r="O51" i="1"/>
  <c r="O40" i="1"/>
  <c r="O25" i="1"/>
  <c r="O47" i="1"/>
  <c r="O29" i="1"/>
  <c r="O72" i="1"/>
  <c r="O64" i="1"/>
  <c r="O35" i="1"/>
  <c r="O22" i="1"/>
  <c r="O56" i="1"/>
  <c r="O41" i="1"/>
  <c r="O28" i="1"/>
  <c r="O45" i="1"/>
  <c r="O23" i="1"/>
  <c r="O43" i="1"/>
  <c r="O63" i="1"/>
  <c r="O70" i="1"/>
  <c r="O69" i="1"/>
  <c r="O49" i="1"/>
  <c r="O42" i="1"/>
  <c r="O60" i="1"/>
  <c r="O34" i="1"/>
  <c r="O24" i="1"/>
  <c r="O38" i="1"/>
  <c r="O55" i="1"/>
  <c r="O57" i="1"/>
  <c r="O67" i="1"/>
  <c r="O58" i="1"/>
  <c r="O50" i="1"/>
  <c r="O44" i="1"/>
  <c r="O32" i="1"/>
  <c r="O73" i="1"/>
  <c r="O27" i="1"/>
  <c r="O31" i="1"/>
  <c r="O36" i="1"/>
  <c r="O66" i="1"/>
  <c r="O46" i="1"/>
  <c r="O33" i="1"/>
  <c r="O71" i="1"/>
  <c r="O37" i="1"/>
  <c r="O26" i="1"/>
  <c r="O62" i="1"/>
  <c r="O30" i="1"/>
  <c r="O48" i="1"/>
  <c r="C16" i="1"/>
  <c r="D18" i="1" s="1"/>
  <c r="F17" i="1"/>
  <c r="F18" i="1" l="1"/>
  <c r="C18" i="1"/>
  <c r="F19" i="1"/>
</calcChain>
</file>

<file path=xl/sharedStrings.xml><?xml version="1.0" encoding="utf-8"?>
<sst xmlns="http://schemas.openxmlformats.org/spreadsheetml/2006/main" count="545" uniqueCount="239">
  <si>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</si>
  <si>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</si>
  <si>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</si>
  <si>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</si>
  <si>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</si>
  <si>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</si>
  <si>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</si>
  <si>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</si>
  <si>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</si>
  <si>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</si>
  <si>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</si>
  <si>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</si>
  <si>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</si>
  <si>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</si>
  <si>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</si>
  <si>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</si>
  <si>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</si>
  <si>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</si>
  <si>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</si>
  <si>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</si>
  <si>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</si>
  <si>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</si>
  <si>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</si>
  <si>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</si>
  <si>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</si>
  <si>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</si>
  <si>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</si>
  <si>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</si>
  <si>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IBVS 5484</t>
  </si>
  <si>
    <t>v</t>
  </si>
  <si>
    <t>BAAVSS 60,15</t>
  </si>
  <si>
    <t>K</t>
  </si>
  <si>
    <t>ccd</t>
  </si>
  <si>
    <t>Paschke A</t>
  </si>
  <si>
    <t>BBSAG Bull.113</t>
  </si>
  <si>
    <t>B</t>
  </si>
  <si>
    <t># of data points:</t>
  </si>
  <si>
    <t>SS Boo / GSC 03045-01097</t>
  </si>
  <si>
    <t>EA/DM/RS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</si>
  <si>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</si>
  <si>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</si>
  <si>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</si>
  <si>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</si>
  <si>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</si>
  <si>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</si>
  <si>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</si>
  <si>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</si>
  <si>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</t>
  </si>
  <si>
    <t>Add cycle</t>
  </si>
  <si>
    <t>Old Cycle</t>
  </si>
  <si>
    <t>JAVSO..39...94</t>
  </si>
  <si>
    <t>JAVSO..36..186</t>
  </si>
  <si>
    <t>S6</t>
  </si>
  <si>
    <t>IBVS 6048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</si>
  <si>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</si>
  <si>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</si>
  <si>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</si>
  <si>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</si>
  <si>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</si>
  <si>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</si>
  <si>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</si>
  <si>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</si>
  <si>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</si>
  <si>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</si>
  <si>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</si>
  <si>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</si>
  <si>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2420707.375 </t>
  </si>
  <si>
    <t> 28.07.1915 21:00 </t>
  </si>
  <si>
    <t> 0.035 </t>
  </si>
  <si>
    <t> A.Fokin </t>
  </si>
  <si>
    <t> AC 120.8 </t>
  </si>
  <si>
    <t>2420707.46 </t>
  </si>
  <si>
    <t> 28.07.1915 23:02 </t>
  </si>
  <si>
    <t> 0.12 </t>
  </si>
  <si>
    <t>V </t>
  </si>
  <si>
    <t> C.Hoffmeister </t>
  </si>
  <si>
    <t> AN 214.4 </t>
  </si>
  <si>
    <t>2420897.53 </t>
  </si>
  <si>
    <t> 04.02.1916 00:43 </t>
  </si>
  <si>
    <t> 0.04 </t>
  </si>
  <si>
    <t>2420920.38 </t>
  </si>
  <si>
    <t> 26.02.1916 21:07 </t>
  </si>
  <si>
    <t> 0.07 </t>
  </si>
  <si>
    <t>2420958.41 </t>
  </si>
  <si>
    <t> 04.04.1916 21:50 </t>
  </si>
  <si>
    <t>2420981.26 </t>
  </si>
  <si>
    <t> 27.04.1916 18:14 </t>
  </si>
  <si>
    <t> 0.10 </t>
  </si>
  <si>
    <t>2421057.34 </t>
  </si>
  <si>
    <t> 12.07.1916 20:09 </t>
  </si>
  <si>
    <t>2421072.42 </t>
  </si>
  <si>
    <t> 27.07.1916 22:04 </t>
  </si>
  <si>
    <t> -0.01 </t>
  </si>
  <si>
    <t>2421110.46 </t>
  </si>
  <si>
    <t> 03.09.1916 23:02 </t>
  </si>
  <si>
    <t>2421133.25 </t>
  </si>
  <si>
    <t> 26.09.1916 18:00 </t>
  </si>
  <si>
    <t> -0.03 </t>
  </si>
  <si>
    <t>2421270.32 </t>
  </si>
  <si>
    <t> 10.02.1917 19:40 </t>
  </si>
  <si>
    <t> 0.13 </t>
  </si>
  <si>
    <t>2421323.35 </t>
  </si>
  <si>
    <t> 04.04.1917 20:24 </t>
  </si>
  <si>
    <t> -0.09 </t>
  </si>
  <si>
    <t>2421361.49 </t>
  </si>
  <si>
    <t> 12.05.1917 23:45 </t>
  </si>
  <si>
    <t> 0.02 </t>
  </si>
  <si>
    <t>2421399.40 </t>
  </si>
  <si>
    <t> 19.06.1917 21:36 </t>
  </si>
  <si>
    <t> -0.10 </t>
  </si>
  <si>
    <t>2421422.44 </t>
  </si>
  <si>
    <t> 12.07.1917 22:33 </t>
  </si>
  <si>
    <t>2421460.38 </t>
  </si>
  <si>
    <t> 19.08.1917 21:07 </t>
  </si>
  <si>
    <t> 0.03 </t>
  </si>
  <si>
    <t>2421483.21 </t>
  </si>
  <si>
    <t> 11.09.1917 17:02 </t>
  </si>
  <si>
    <t>2421498.40 </t>
  </si>
  <si>
    <t> 26.09.1917 21:36 </t>
  </si>
  <si>
    <t>2421559.26 </t>
  </si>
  <si>
    <t> 26.11.1917 18:14 </t>
  </si>
  <si>
    <t>2421688.50 </t>
  </si>
  <si>
    <t> 05.04.1918 00:00 </t>
  </si>
  <si>
    <t>2421749.36 </t>
  </si>
  <si>
    <t> 04.06.1918 20:38 </t>
  </si>
  <si>
    <t> -0.02 </t>
  </si>
  <si>
    <t>2421787.50 </t>
  </si>
  <si>
    <t> 13.07.1918 00:00 </t>
  </si>
  <si>
    <t> 0.09 </t>
  </si>
  <si>
    <t>2427636.479 </t>
  </si>
  <si>
    <t> 17.07.1934 23:29 </t>
  </si>
  <si>
    <t> -0.060 </t>
  </si>
  <si>
    <t> F.Lause </t>
  </si>
  <si>
    <t> AN 259.189 </t>
  </si>
  <si>
    <t>2427659.408 </t>
  </si>
  <si>
    <t> 09.08.1934 21:47 </t>
  </si>
  <si>
    <t> 0.051 </t>
  </si>
  <si>
    <t>2427697.397 </t>
  </si>
  <si>
    <t> 16.09.1934 21:31 </t>
  </si>
  <si>
    <t> 0.009 </t>
  </si>
  <si>
    <t>2427925.594 </t>
  </si>
  <si>
    <t> 03.05.1935 02:15 </t>
  </si>
  <si>
    <t> 0.022 </t>
  </si>
  <si>
    <t>2427948.367 </t>
  </si>
  <si>
    <t> 25.05.1935 20:48 </t>
  </si>
  <si>
    <t> -0.024 </t>
  </si>
  <si>
    <t>2428062.479 </t>
  </si>
  <si>
    <t> 16.09.1935 23:29 </t>
  </si>
  <si>
    <t> -0.004 </t>
  </si>
  <si>
    <t>2428108.104 </t>
  </si>
  <si>
    <t> 01.11.1935 14:29 </t>
  </si>
  <si>
    <t> -0.016 </t>
  </si>
  <si>
    <t>2429971.610 </t>
  </si>
  <si>
    <t> 08.12.1940 02:38 </t>
  </si>
  <si>
    <t> S.Gaposchkin </t>
  </si>
  <si>
    <t> HA 113.69 </t>
  </si>
  <si>
    <t>2440741.927 </t>
  </si>
  <si>
    <t> 04.06.1970 10:14 </t>
  </si>
  <si>
    <t> -0.001 </t>
  </si>
  <si>
    <t>E </t>
  </si>
  <si>
    <t>?</t>
  </si>
  <si>
    <t> C.A.Vaucher </t>
  </si>
  <si>
    <t> AA 30.397 </t>
  </si>
  <si>
    <t>2442506.564 </t>
  </si>
  <si>
    <t> 04.04.1975 01:32 </t>
  </si>
  <si>
    <t> 0.010 </t>
  </si>
  <si>
    <t>2442947.710 </t>
  </si>
  <si>
    <t> 18.06.1976 05:02 </t>
  </si>
  <si>
    <t>2443274.769 </t>
  </si>
  <si>
    <t> 11.05.1977 06:27 </t>
  </si>
  <si>
    <t> -0.006 </t>
  </si>
  <si>
    <t>2444332.0335 </t>
  </si>
  <si>
    <t> 02.04.1980 12:48 </t>
  </si>
  <si>
    <t> 0.0043 </t>
  </si>
  <si>
    <t> J.W.Wilson et al. </t>
  </si>
  <si>
    <t> AJ 88.1257 </t>
  </si>
  <si>
    <t>2445077.39 </t>
  </si>
  <si>
    <t> 17.04.1982 21:21 </t>
  </si>
  <si>
    <t> -0.04 </t>
  </si>
  <si>
    <t> T.Brelstaff </t>
  </si>
  <si>
    <t> VSSC 60.18 </t>
  </si>
  <si>
    <t>2445191.48 </t>
  </si>
  <si>
    <t> 09.08.1982 23:31 </t>
  </si>
  <si>
    <t>2445442.57 </t>
  </si>
  <si>
    <t> 18.04.1983 01:40 </t>
  </si>
  <si>
    <t>2450234.40 </t>
  </si>
  <si>
    <t> 30.05.1996 21:36 </t>
  </si>
  <si>
    <t> 0.00 </t>
  </si>
  <si>
    <t> A.Paschke </t>
  </si>
  <si>
    <t> BBS 113 </t>
  </si>
  <si>
    <t>2452744.4272 </t>
  </si>
  <si>
    <t> 14.04.2003 22:15 </t>
  </si>
  <si>
    <t> 0.0005 </t>
  </si>
  <si>
    <t>o</t>
  </si>
  <si>
    <t> F.Agerer </t>
  </si>
  <si>
    <t>BAVM 158 </t>
  </si>
  <si>
    <t>2453862.5330 </t>
  </si>
  <si>
    <t> 07.05.2006 00:47 </t>
  </si>
  <si>
    <t> 0.0029 </t>
  </si>
  <si>
    <t>C </t>
  </si>
  <si>
    <t>-I</t>
  </si>
  <si>
    <t>BAVM 178 </t>
  </si>
  <si>
    <t>2454212.4147 </t>
  </si>
  <si>
    <t> 21.04.2007 21:57 </t>
  </si>
  <si>
    <t>225</t>
  </si>
  <si>
    <t> 0.0019 </t>
  </si>
  <si>
    <t> J.Bialozynski </t>
  </si>
  <si>
    <t>JAAVSO 36(2);186 </t>
  </si>
  <si>
    <t>2454592.6845 </t>
  </si>
  <si>
    <t> 06.05.2008 04:25 </t>
  </si>
  <si>
    <t>275</t>
  </si>
  <si>
    <t> -0.0356 </t>
  </si>
  <si>
    <t> S.Diesso </t>
  </si>
  <si>
    <t>2454596.5176 </t>
  </si>
  <si>
    <t> 10.05.2008 00:25 </t>
  </si>
  <si>
    <t>275.5</t>
  </si>
  <si>
    <t> -0.0056 </t>
  </si>
  <si>
    <t>BAVM 201 </t>
  </si>
  <si>
    <t>2455345.7302 </t>
  </si>
  <si>
    <t> 29.05.2010 05:31 </t>
  </si>
  <si>
    <t>374</t>
  </si>
  <si>
    <t> 0.0016 </t>
  </si>
  <si>
    <t>ns</t>
  </si>
  <si>
    <t> G.Samolyk </t>
  </si>
  <si>
    <t> JAAVSO 39;94 </t>
  </si>
  <si>
    <t>2456007.4719 </t>
  </si>
  <si>
    <t> 20.03.2012 23:19 </t>
  </si>
  <si>
    <t>461</t>
  </si>
  <si>
    <t> 0.0086 </t>
  </si>
  <si>
    <t>BAVM 228 </t>
  </si>
  <si>
    <t>2457106.5296 </t>
  </si>
  <si>
    <t> 25.03.2015 00:42 </t>
  </si>
  <si>
    <t>605.5</t>
  </si>
  <si>
    <t> -0.0218 </t>
  </si>
  <si>
    <t>BAVM 241 (=IBVS 6157) </t>
  </si>
  <si>
    <t>IBVS 6157</t>
  </si>
  <si>
    <t>JAVSO..45..215</t>
  </si>
  <si>
    <t>JAVSO..47..263</t>
  </si>
  <si>
    <t>JAVSO..48..256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</si>
</sst>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1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14" fontId="15" fillId="0" borderId="0" xfId="0" applyNumberFormat="1" applyFont="1" applyAlignment="1"/>
    <xf numFmtId="0" fontId="1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6" fillId="0" borderId="0" xfId="8" applyFont="1" applyAlignment="1">
      <alignment horizontal="left"/>
    </xf>
    <xf numFmtId="0" fontId="5" fillId="0" borderId="0" xfId="0" applyFont="1" applyAlignment="1"/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5" fillId="0" borderId="0" xfId="8" applyFont="1" applyAlignment="1">
      <alignment horizontal="left"/>
    </xf>
    <xf numFmtId="0" fontId="16" fillId="0" borderId="0" xfId="8" applyFont="1" applyAlignment="1">
      <alignment horizontal="center"/>
    </xf>
    <xf numFmtId="0" fontId="9" fillId="0" borderId="0" xfId="8" applyFo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8" applyFont="1"/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Boo - O-C Diagr.</a:t>
            </a:r>
          </a:p>
        </c:rich>
      </c:tx>
      <c:layout>
        <c:manualLayout>
          <c:xMode val="edge"/>
          <c:yMode val="edge"/>
          <c:x val="0.3526017629299227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77680142250992"/>
          <c:y val="0.14769252958613219"/>
          <c:w val="0.7842018609289591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28</c:v>
                </c:pt>
                <c:pt idx="5">
                  <c:v>33</c:v>
                </c:pt>
                <c:pt idx="6">
                  <c:v>36</c:v>
                </c:pt>
                <c:pt idx="7">
                  <c:v>46</c:v>
                </c:pt>
                <c:pt idx="8">
                  <c:v>48</c:v>
                </c:pt>
                <c:pt idx="9">
                  <c:v>53</c:v>
                </c:pt>
                <c:pt idx="10">
                  <c:v>56</c:v>
                </c:pt>
                <c:pt idx="11">
                  <c:v>74</c:v>
                </c:pt>
                <c:pt idx="12">
                  <c:v>81</c:v>
                </c:pt>
                <c:pt idx="13">
                  <c:v>86</c:v>
                </c:pt>
                <c:pt idx="14">
                  <c:v>91</c:v>
                </c:pt>
                <c:pt idx="15">
                  <c:v>94</c:v>
                </c:pt>
                <c:pt idx="16">
                  <c:v>99</c:v>
                </c:pt>
                <c:pt idx="17">
                  <c:v>102</c:v>
                </c:pt>
                <c:pt idx="18">
                  <c:v>104</c:v>
                </c:pt>
                <c:pt idx="19">
                  <c:v>112</c:v>
                </c:pt>
                <c:pt idx="20">
                  <c:v>129</c:v>
                </c:pt>
                <c:pt idx="21">
                  <c:v>137</c:v>
                </c:pt>
                <c:pt idx="22">
                  <c:v>142</c:v>
                </c:pt>
                <c:pt idx="23">
                  <c:v>911</c:v>
                </c:pt>
                <c:pt idx="24">
                  <c:v>914</c:v>
                </c:pt>
                <c:pt idx="25">
                  <c:v>919</c:v>
                </c:pt>
                <c:pt idx="26">
                  <c:v>949</c:v>
                </c:pt>
                <c:pt idx="27">
                  <c:v>952</c:v>
                </c:pt>
                <c:pt idx="28">
                  <c:v>967</c:v>
                </c:pt>
                <c:pt idx="29">
                  <c:v>973</c:v>
                </c:pt>
                <c:pt idx="30">
                  <c:v>1218</c:v>
                </c:pt>
                <c:pt idx="31">
                  <c:v>2634</c:v>
                </c:pt>
                <c:pt idx="32">
                  <c:v>2866</c:v>
                </c:pt>
                <c:pt idx="33">
                  <c:v>2924</c:v>
                </c:pt>
                <c:pt idx="34">
                  <c:v>2967</c:v>
                </c:pt>
                <c:pt idx="35">
                  <c:v>3106</c:v>
                </c:pt>
                <c:pt idx="36">
                  <c:v>3204</c:v>
                </c:pt>
                <c:pt idx="37">
                  <c:v>3219</c:v>
                </c:pt>
                <c:pt idx="38">
                  <c:v>3252</c:v>
                </c:pt>
                <c:pt idx="39">
                  <c:v>3882</c:v>
                </c:pt>
                <c:pt idx="40">
                  <c:v>4212</c:v>
                </c:pt>
                <c:pt idx="41">
                  <c:v>4359</c:v>
                </c:pt>
                <c:pt idx="42">
                  <c:v>4405</c:v>
                </c:pt>
                <c:pt idx="43">
                  <c:v>4455</c:v>
                </c:pt>
                <c:pt idx="44">
                  <c:v>4455.5</c:v>
                </c:pt>
                <c:pt idx="45">
                  <c:v>4554</c:v>
                </c:pt>
                <c:pt idx="46">
                  <c:v>4641</c:v>
                </c:pt>
                <c:pt idx="47">
                  <c:v>4785.5</c:v>
                </c:pt>
                <c:pt idx="48">
                  <c:v>4887</c:v>
                </c:pt>
                <c:pt idx="49">
                  <c:v>4757</c:v>
                </c:pt>
                <c:pt idx="50">
                  <c:v>4784</c:v>
                </c:pt>
                <c:pt idx="51">
                  <c:v>4981</c:v>
                </c:pt>
                <c:pt idx="52">
                  <c:v>5031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6.0000000012223609E-3</c:v>
                </c:pt>
                <c:pt idx="2">
                  <c:v>9.1000000000349246E-2</c:v>
                </c:pt>
                <c:pt idx="3">
                  <c:v>7.6750000007450581E-3</c:v>
                </c:pt>
                <c:pt idx="4">
                  <c:v>3.9276000003155787E-2</c:v>
                </c:pt>
                <c:pt idx="5">
                  <c:v>3.8610999999946216E-2</c:v>
                </c:pt>
                <c:pt idx="6">
                  <c:v>7.0211999998718966E-2</c:v>
                </c:pt>
                <c:pt idx="7">
                  <c:v>8.888200000001234E-2</c:v>
                </c:pt>
                <c:pt idx="8">
                  <c:v>-4.3384000000514789E-2</c:v>
                </c:pt>
                <c:pt idx="9">
                  <c:v>-3.4048999998049112E-2</c:v>
                </c:pt>
                <c:pt idx="10">
                  <c:v>-6.2447999996948056E-2</c:v>
                </c:pt>
                <c:pt idx="11">
                  <c:v>9.7158000000490574E-2</c:v>
                </c:pt>
                <c:pt idx="12">
                  <c:v>-0.11577300000135438</c:v>
                </c:pt>
                <c:pt idx="13">
                  <c:v>-6.4379999967059121E-3</c:v>
                </c:pt>
                <c:pt idx="14">
                  <c:v>-0.12710299999889685</c:v>
                </c:pt>
                <c:pt idx="15">
                  <c:v>9.4497999998566229E-2</c:v>
                </c:pt>
                <c:pt idx="16">
                  <c:v>3.8330000024870969E-3</c:v>
                </c:pt>
                <c:pt idx="17">
                  <c:v>1.5434000000823289E-2</c:v>
                </c:pt>
                <c:pt idx="18">
                  <c:v>-6.8319999991217628E-3</c:v>
                </c:pt>
                <c:pt idx="19">
                  <c:v>4.1039999996428378E-3</c:v>
                </c:pt>
                <c:pt idx="20">
                  <c:v>-6.0156999999890104E-2</c:v>
                </c:pt>
                <c:pt idx="21">
                  <c:v>-4.9220999997487525E-2</c:v>
                </c:pt>
                <c:pt idx="22">
                  <c:v>6.0113999999884982E-2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45-441F-9ECC-2861C06A8B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0.01</c:v>
                  </c:pt>
                  <c:pt idx="40">
                    <c:v>1.5E-3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2E-3</c:v>
                  </c:pt>
                  <c:pt idx="45">
                    <c:v>8.9999999999999998E-4</c:v>
                  </c:pt>
                  <c:pt idx="46">
                    <c:v>2.3900000000000001E-2</c:v>
                  </c:pt>
                  <c:pt idx="47">
                    <c:v>1.9300000000000001E-2</c:v>
                  </c:pt>
                  <c:pt idx="48">
                    <c:v>2.0000000000000001E-4</c:v>
                  </c:pt>
                  <c:pt idx="49">
                    <c:v>0.01</c:v>
                  </c:pt>
                  <c:pt idx="50">
                    <c:v>0.01</c:v>
                  </c:pt>
                  <c:pt idx="51">
                    <c:v>2.0000000000000001E-4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0.01</c:v>
                  </c:pt>
                  <c:pt idx="40">
                    <c:v>1.5E-3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2E-3</c:v>
                  </c:pt>
                  <c:pt idx="45">
                    <c:v>8.9999999999999998E-4</c:v>
                  </c:pt>
                  <c:pt idx="46">
                    <c:v>2.3900000000000001E-2</c:v>
                  </c:pt>
                  <c:pt idx="47">
                    <c:v>1.9300000000000001E-2</c:v>
                  </c:pt>
                  <c:pt idx="48">
                    <c:v>2.0000000000000001E-4</c:v>
                  </c:pt>
                  <c:pt idx="49">
                    <c:v>0.01</c:v>
                  </c:pt>
                  <c:pt idx="50">
                    <c:v>0.01</c:v>
                  </c:pt>
                  <c:pt idx="51">
                    <c:v>2.0000000000000001E-4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28</c:v>
                </c:pt>
                <c:pt idx="5">
                  <c:v>33</c:v>
                </c:pt>
                <c:pt idx="6">
                  <c:v>36</c:v>
                </c:pt>
                <c:pt idx="7">
                  <c:v>46</c:v>
                </c:pt>
                <c:pt idx="8">
                  <c:v>48</c:v>
                </c:pt>
                <c:pt idx="9">
                  <c:v>53</c:v>
                </c:pt>
                <c:pt idx="10">
                  <c:v>56</c:v>
                </c:pt>
                <c:pt idx="11">
                  <c:v>74</c:v>
                </c:pt>
                <c:pt idx="12">
                  <c:v>81</c:v>
                </c:pt>
                <c:pt idx="13">
                  <c:v>86</c:v>
                </c:pt>
                <c:pt idx="14">
                  <c:v>91</c:v>
                </c:pt>
                <c:pt idx="15">
                  <c:v>94</c:v>
                </c:pt>
                <c:pt idx="16">
                  <c:v>99</c:v>
                </c:pt>
                <c:pt idx="17">
                  <c:v>102</c:v>
                </c:pt>
                <c:pt idx="18">
                  <c:v>104</c:v>
                </c:pt>
                <c:pt idx="19">
                  <c:v>112</c:v>
                </c:pt>
                <c:pt idx="20">
                  <c:v>129</c:v>
                </c:pt>
                <c:pt idx="21">
                  <c:v>137</c:v>
                </c:pt>
                <c:pt idx="22">
                  <c:v>142</c:v>
                </c:pt>
                <c:pt idx="23">
                  <c:v>911</c:v>
                </c:pt>
                <c:pt idx="24">
                  <c:v>914</c:v>
                </c:pt>
                <c:pt idx="25">
                  <c:v>919</c:v>
                </c:pt>
                <c:pt idx="26">
                  <c:v>949</c:v>
                </c:pt>
                <c:pt idx="27">
                  <c:v>952</c:v>
                </c:pt>
                <c:pt idx="28">
                  <c:v>967</c:v>
                </c:pt>
                <c:pt idx="29">
                  <c:v>973</c:v>
                </c:pt>
                <c:pt idx="30">
                  <c:v>1218</c:v>
                </c:pt>
                <c:pt idx="31">
                  <c:v>2634</c:v>
                </c:pt>
                <c:pt idx="32">
                  <c:v>2866</c:v>
                </c:pt>
                <c:pt idx="33">
                  <c:v>2924</c:v>
                </c:pt>
                <c:pt idx="34">
                  <c:v>2967</c:v>
                </c:pt>
                <c:pt idx="35">
                  <c:v>3106</c:v>
                </c:pt>
                <c:pt idx="36">
                  <c:v>3204</c:v>
                </c:pt>
                <c:pt idx="37">
                  <c:v>3219</c:v>
                </c:pt>
                <c:pt idx="38">
                  <c:v>3252</c:v>
                </c:pt>
                <c:pt idx="39">
                  <c:v>3882</c:v>
                </c:pt>
                <c:pt idx="40">
                  <c:v>4212</c:v>
                </c:pt>
                <c:pt idx="41">
                  <c:v>4359</c:v>
                </c:pt>
                <c:pt idx="42">
                  <c:v>4405</c:v>
                </c:pt>
                <c:pt idx="43">
                  <c:v>4455</c:v>
                </c:pt>
                <c:pt idx="44">
                  <c:v>4455.5</c:v>
                </c:pt>
                <c:pt idx="45">
                  <c:v>4554</c:v>
                </c:pt>
                <c:pt idx="46">
                  <c:v>4641</c:v>
                </c:pt>
                <c:pt idx="47">
                  <c:v>4785.5</c:v>
                </c:pt>
                <c:pt idx="48">
                  <c:v>4887</c:v>
                </c:pt>
                <c:pt idx="49">
                  <c:v>4757</c:v>
                </c:pt>
                <c:pt idx="50">
                  <c:v>4784</c:v>
                </c:pt>
                <c:pt idx="51">
                  <c:v>4981</c:v>
                </c:pt>
                <c:pt idx="52">
                  <c:v>5031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</c:v>
                </c:pt>
                <c:pt idx="23">
                  <c:v>-7.7162999998108717E-2</c:v>
                </c:pt>
                <c:pt idx="24">
                  <c:v>3.3438000002206536E-2</c:v>
                </c:pt>
                <c:pt idx="25">
                  <c:v>-8.2269999984418973E-3</c:v>
                </c:pt>
                <c:pt idx="26">
                  <c:v>4.7830000003159512E-3</c:v>
                </c:pt>
                <c:pt idx="27">
                  <c:v>-4.061599999840837E-2</c:v>
                </c:pt>
                <c:pt idx="28">
                  <c:v>-2.0610999999917112E-2</c:v>
                </c:pt>
                <c:pt idx="29">
                  <c:v>-3.240899999946123E-2</c:v>
                </c:pt>
                <c:pt idx="30">
                  <c:v>-2.8994000000238884E-2</c:v>
                </c:pt>
                <c:pt idx="31">
                  <c:v>3.6780000009457581E-3</c:v>
                </c:pt>
                <c:pt idx="32">
                  <c:v>1.7822000001615379E-2</c:v>
                </c:pt>
                <c:pt idx="33">
                  <c:v>8.1080000018118881E-3</c:v>
                </c:pt>
                <c:pt idx="34">
                  <c:v>3.3890000049723312E-3</c:v>
                </c:pt>
                <c:pt idx="36">
                  <c:v>-2.9131999996025115E-2</c:v>
                </c:pt>
                <c:pt idx="37">
                  <c:v>-3.112699999473989E-2</c:v>
                </c:pt>
                <c:pt idx="38">
                  <c:v>5.6484000000637025E-2</c:v>
                </c:pt>
                <c:pt idx="39">
                  <c:v>2.2694000006595161E-2</c:v>
                </c:pt>
                <c:pt idx="49">
                  <c:v>4.8319000001356471E-2</c:v>
                </c:pt>
                <c:pt idx="50">
                  <c:v>4.8728000008850358E-2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45-441F-9ECC-2861C06A8BA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28</c:v>
                </c:pt>
                <c:pt idx="5">
                  <c:v>33</c:v>
                </c:pt>
                <c:pt idx="6">
                  <c:v>36</c:v>
                </c:pt>
                <c:pt idx="7">
                  <c:v>46</c:v>
                </c:pt>
                <c:pt idx="8">
                  <c:v>48</c:v>
                </c:pt>
                <c:pt idx="9">
                  <c:v>53</c:v>
                </c:pt>
                <c:pt idx="10">
                  <c:v>56</c:v>
                </c:pt>
                <c:pt idx="11">
                  <c:v>74</c:v>
                </c:pt>
                <c:pt idx="12">
                  <c:v>81</c:v>
                </c:pt>
                <c:pt idx="13">
                  <c:v>86</c:v>
                </c:pt>
                <c:pt idx="14">
                  <c:v>91</c:v>
                </c:pt>
                <c:pt idx="15">
                  <c:v>94</c:v>
                </c:pt>
                <c:pt idx="16">
                  <c:v>99</c:v>
                </c:pt>
                <c:pt idx="17">
                  <c:v>102</c:v>
                </c:pt>
                <c:pt idx="18">
                  <c:v>104</c:v>
                </c:pt>
                <c:pt idx="19">
                  <c:v>112</c:v>
                </c:pt>
                <c:pt idx="20">
                  <c:v>129</c:v>
                </c:pt>
                <c:pt idx="21">
                  <c:v>137</c:v>
                </c:pt>
                <c:pt idx="22">
                  <c:v>142</c:v>
                </c:pt>
                <c:pt idx="23">
                  <c:v>911</c:v>
                </c:pt>
                <c:pt idx="24">
                  <c:v>914</c:v>
                </c:pt>
                <c:pt idx="25">
                  <c:v>919</c:v>
                </c:pt>
                <c:pt idx="26">
                  <c:v>949</c:v>
                </c:pt>
                <c:pt idx="27">
                  <c:v>952</c:v>
                </c:pt>
                <c:pt idx="28">
                  <c:v>967</c:v>
                </c:pt>
                <c:pt idx="29">
                  <c:v>973</c:v>
                </c:pt>
                <c:pt idx="30">
                  <c:v>1218</c:v>
                </c:pt>
                <c:pt idx="31">
                  <c:v>2634</c:v>
                </c:pt>
                <c:pt idx="32">
                  <c:v>2866</c:v>
                </c:pt>
                <c:pt idx="33">
                  <c:v>2924</c:v>
                </c:pt>
                <c:pt idx="34">
                  <c:v>2967</c:v>
                </c:pt>
                <c:pt idx="35">
                  <c:v>3106</c:v>
                </c:pt>
                <c:pt idx="36">
                  <c:v>3204</c:v>
                </c:pt>
                <c:pt idx="37">
                  <c:v>3219</c:v>
                </c:pt>
                <c:pt idx="38">
                  <c:v>3252</c:v>
                </c:pt>
                <c:pt idx="39">
                  <c:v>3882</c:v>
                </c:pt>
                <c:pt idx="40">
                  <c:v>4212</c:v>
                </c:pt>
                <c:pt idx="41">
                  <c:v>4359</c:v>
                </c:pt>
                <c:pt idx="42">
                  <c:v>4405</c:v>
                </c:pt>
                <c:pt idx="43">
                  <c:v>4455</c:v>
                </c:pt>
                <c:pt idx="44">
                  <c:v>4455.5</c:v>
                </c:pt>
                <c:pt idx="45">
                  <c:v>4554</c:v>
                </c:pt>
                <c:pt idx="46">
                  <c:v>4641</c:v>
                </c:pt>
                <c:pt idx="47">
                  <c:v>4785.5</c:v>
                </c:pt>
                <c:pt idx="48">
                  <c:v>4887</c:v>
                </c:pt>
                <c:pt idx="49">
                  <c:v>4757</c:v>
                </c:pt>
                <c:pt idx="50">
                  <c:v>4784</c:v>
                </c:pt>
                <c:pt idx="51">
                  <c:v>4981</c:v>
                </c:pt>
                <c:pt idx="52">
                  <c:v>5031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5">
                  <c:v>1.5401999997266103E-2</c:v>
                </c:pt>
                <c:pt idx="40">
                  <c:v>2.6003999999375083E-2</c:v>
                </c:pt>
                <c:pt idx="41">
                  <c:v>3.0253000004449859E-2</c:v>
                </c:pt>
                <c:pt idx="44">
                  <c:v>2.3018500003672671E-2</c:v>
                </c:pt>
                <c:pt idx="46">
                  <c:v>3.9646999997785315E-2</c:v>
                </c:pt>
                <c:pt idx="47">
                  <c:v>1.1128500002087094E-2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45-441F-9ECC-2861C06A8BA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0.01</c:v>
                  </c:pt>
                  <c:pt idx="40">
                    <c:v>1.5E-3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2E-3</c:v>
                  </c:pt>
                  <c:pt idx="45">
                    <c:v>8.9999999999999998E-4</c:v>
                  </c:pt>
                  <c:pt idx="46">
                    <c:v>2.3900000000000001E-2</c:v>
                  </c:pt>
                  <c:pt idx="47">
                    <c:v>1.9300000000000001E-2</c:v>
                  </c:pt>
                  <c:pt idx="48">
                    <c:v>2.0000000000000001E-4</c:v>
                  </c:pt>
                  <c:pt idx="49">
                    <c:v>0.01</c:v>
                  </c:pt>
                  <c:pt idx="50">
                    <c:v>0.01</c:v>
                  </c:pt>
                  <c:pt idx="51">
                    <c:v>2.0000000000000001E-4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0.01</c:v>
                  </c:pt>
                  <c:pt idx="40">
                    <c:v>1.5E-3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2E-3</c:v>
                  </c:pt>
                  <c:pt idx="45">
                    <c:v>8.9999999999999998E-4</c:v>
                  </c:pt>
                  <c:pt idx="46">
                    <c:v>2.3900000000000001E-2</c:v>
                  </c:pt>
                  <c:pt idx="47">
                    <c:v>1.9300000000000001E-2</c:v>
                  </c:pt>
                  <c:pt idx="48">
                    <c:v>2.0000000000000001E-4</c:v>
                  </c:pt>
                  <c:pt idx="49">
                    <c:v>0.01</c:v>
                  </c:pt>
                  <c:pt idx="50">
                    <c:v>0.01</c:v>
                  </c:pt>
                  <c:pt idx="51">
                    <c:v>2.0000000000000001E-4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28</c:v>
                </c:pt>
                <c:pt idx="5">
                  <c:v>33</c:v>
                </c:pt>
                <c:pt idx="6">
                  <c:v>36</c:v>
                </c:pt>
                <c:pt idx="7">
                  <c:v>46</c:v>
                </c:pt>
                <c:pt idx="8">
                  <c:v>48</c:v>
                </c:pt>
                <c:pt idx="9">
                  <c:v>53</c:v>
                </c:pt>
                <c:pt idx="10">
                  <c:v>56</c:v>
                </c:pt>
                <c:pt idx="11">
                  <c:v>74</c:v>
                </c:pt>
                <c:pt idx="12">
                  <c:v>81</c:v>
                </c:pt>
                <c:pt idx="13">
                  <c:v>86</c:v>
                </c:pt>
                <c:pt idx="14">
                  <c:v>91</c:v>
                </c:pt>
                <c:pt idx="15">
                  <c:v>94</c:v>
                </c:pt>
                <c:pt idx="16">
                  <c:v>99</c:v>
                </c:pt>
                <c:pt idx="17">
                  <c:v>102</c:v>
                </c:pt>
                <c:pt idx="18">
                  <c:v>104</c:v>
                </c:pt>
                <c:pt idx="19">
                  <c:v>112</c:v>
                </c:pt>
                <c:pt idx="20">
                  <c:v>129</c:v>
                </c:pt>
                <c:pt idx="21">
                  <c:v>137</c:v>
                </c:pt>
                <c:pt idx="22">
                  <c:v>142</c:v>
                </c:pt>
                <c:pt idx="23">
                  <c:v>911</c:v>
                </c:pt>
                <c:pt idx="24">
                  <c:v>914</c:v>
                </c:pt>
                <c:pt idx="25">
                  <c:v>919</c:v>
                </c:pt>
                <c:pt idx="26">
                  <c:v>949</c:v>
                </c:pt>
                <c:pt idx="27">
                  <c:v>952</c:v>
                </c:pt>
                <c:pt idx="28">
                  <c:v>967</c:v>
                </c:pt>
                <c:pt idx="29">
                  <c:v>973</c:v>
                </c:pt>
                <c:pt idx="30">
                  <c:v>1218</c:v>
                </c:pt>
                <c:pt idx="31">
                  <c:v>2634</c:v>
                </c:pt>
                <c:pt idx="32">
                  <c:v>2866</c:v>
                </c:pt>
                <c:pt idx="33">
                  <c:v>2924</c:v>
                </c:pt>
                <c:pt idx="34">
                  <c:v>2967</c:v>
                </c:pt>
                <c:pt idx="35">
                  <c:v>3106</c:v>
                </c:pt>
                <c:pt idx="36">
                  <c:v>3204</c:v>
                </c:pt>
                <c:pt idx="37">
                  <c:v>3219</c:v>
                </c:pt>
                <c:pt idx="38">
                  <c:v>3252</c:v>
                </c:pt>
                <c:pt idx="39">
                  <c:v>3882</c:v>
                </c:pt>
                <c:pt idx="40">
                  <c:v>4212</c:v>
                </c:pt>
                <c:pt idx="41">
                  <c:v>4359</c:v>
                </c:pt>
                <c:pt idx="42">
                  <c:v>4405</c:v>
                </c:pt>
                <c:pt idx="43">
                  <c:v>4455</c:v>
                </c:pt>
                <c:pt idx="44">
                  <c:v>4455.5</c:v>
                </c:pt>
                <c:pt idx="45">
                  <c:v>4554</c:v>
                </c:pt>
                <c:pt idx="46">
                  <c:v>4641</c:v>
                </c:pt>
                <c:pt idx="47">
                  <c:v>4785.5</c:v>
                </c:pt>
                <c:pt idx="48">
                  <c:v>4887</c:v>
                </c:pt>
                <c:pt idx="49">
                  <c:v>4757</c:v>
                </c:pt>
                <c:pt idx="50">
                  <c:v>4784</c:v>
                </c:pt>
                <c:pt idx="51">
                  <c:v>4981</c:v>
                </c:pt>
                <c:pt idx="52">
                  <c:v>5031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2">
                  <c:v>2.9835000001185108E-2</c:v>
                </c:pt>
                <c:pt idx="43">
                  <c:v>-7.0149999955901876E-3</c:v>
                </c:pt>
                <c:pt idx="45">
                  <c:v>3.1518000003416091E-2</c:v>
                </c:pt>
                <c:pt idx="48">
                  <c:v>4.192900000634836E-2</c:v>
                </c:pt>
                <c:pt idx="51">
                  <c:v>4.4826999997894745E-2</c:v>
                </c:pt>
                <c:pt idx="52">
                  <c:v>4.1277000003901776E-2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45-441F-9ECC-2861C06A8BA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0.01</c:v>
                  </c:pt>
                  <c:pt idx="40">
                    <c:v>1.5E-3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2E-3</c:v>
                  </c:pt>
                  <c:pt idx="45">
                    <c:v>8.9999999999999998E-4</c:v>
                  </c:pt>
                  <c:pt idx="46">
                    <c:v>2.3900000000000001E-2</c:v>
                  </c:pt>
                  <c:pt idx="47">
                    <c:v>1.9300000000000001E-2</c:v>
                  </c:pt>
                  <c:pt idx="48">
                    <c:v>2.0000000000000001E-4</c:v>
                  </c:pt>
                  <c:pt idx="49">
                    <c:v>0.01</c:v>
                  </c:pt>
                  <c:pt idx="50">
                    <c:v>0.01</c:v>
                  </c:pt>
                  <c:pt idx="51">
                    <c:v>2.0000000000000001E-4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0.01</c:v>
                  </c:pt>
                  <c:pt idx="40">
                    <c:v>1.5E-3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2E-3</c:v>
                  </c:pt>
                  <c:pt idx="45">
                    <c:v>8.9999999999999998E-4</c:v>
                  </c:pt>
                  <c:pt idx="46">
                    <c:v>2.3900000000000001E-2</c:v>
                  </c:pt>
                  <c:pt idx="47">
                    <c:v>1.9300000000000001E-2</c:v>
                  </c:pt>
                  <c:pt idx="48">
                    <c:v>2.0000000000000001E-4</c:v>
                  </c:pt>
                  <c:pt idx="49">
                    <c:v>0.01</c:v>
                  </c:pt>
                  <c:pt idx="50">
                    <c:v>0.01</c:v>
                  </c:pt>
                  <c:pt idx="51">
                    <c:v>2.0000000000000001E-4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28</c:v>
                </c:pt>
                <c:pt idx="5">
                  <c:v>33</c:v>
                </c:pt>
                <c:pt idx="6">
                  <c:v>36</c:v>
                </c:pt>
                <c:pt idx="7">
                  <c:v>46</c:v>
                </c:pt>
                <c:pt idx="8">
                  <c:v>48</c:v>
                </c:pt>
                <c:pt idx="9">
                  <c:v>53</c:v>
                </c:pt>
                <c:pt idx="10">
                  <c:v>56</c:v>
                </c:pt>
                <c:pt idx="11">
                  <c:v>74</c:v>
                </c:pt>
                <c:pt idx="12">
                  <c:v>81</c:v>
                </c:pt>
                <c:pt idx="13">
                  <c:v>86</c:v>
                </c:pt>
                <c:pt idx="14">
                  <c:v>91</c:v>
                </c:pt>
                <c:pt idx="15">
                  <c:v>94</c:v>
                </c:pt>
                <c:pt idx="16">
                  <c:v>99</c:v>
                </c:pt>
                <c:pt idx="17">
                  <c:v>102</c:v>
                </c:pt>
                <c:pt idx="18">
                  <c:v>104</c:v>
                </c:pt>
                <c:pt idx="19">
                  <c:v>112</c:v>
                </c:pt>
                <c:pt idx="20">
                  <c:v>129</c:v>
                </c:pt>
                <c:pt idx="21">
                  <c:v>137</c:v>
                </c:pt>
                <c:pt idx="22">
                  <c:v>142</c:v>
                </c:pt>
                <c:pt idx="23">
                  <c:v>911</c:v>
                </c:pt>
                <c:pt idx="24">
                  <c:v>914</c:v>
                </c:pt>
                <c:pt idx="25">
                  <c:v>919</c:v>
                </c:pt>
                <c:pt idx="26">
                  <c:v>949</c:v>
                </c:pt>
                <c:pt idx="27">
                  <c:v>952</c:v>
                </c:pt>
                <c:pt idx="28">
                  <c:v>967</c:v>
                </c:pt>
                <c:pt idx="29">
                  <c:v>973</c:v>
                </c:pt>
                <c:pt idx="30">
                  <c:v>1218</c:v>
                </c:pt>
                <c:pt idx="31">
                  <c:v>2634</c:v>
                </c:pt>
                <c:pt idx="32">
                  <c:v>2866</c:v>
                </c:pt>
                <c:pt idx="33">
                  <c:v>2924</c:v>
                </c:pt>
                <c:pt idx="34">
                  <c:v>2967</c:v>
                </c:pt>
                <c:pt idx="35">
                  <c:v>3106</c:v>
                </c:pt>
                <c:pt idx="36">
                  <c:v>3204</c:v>
                </c:pt>
                <c:pt idx="37">
                  <c:v>3219</c:v>
                </c:pt>
                <c:pt idx="38">
                  <c:v>3252</c:v>
                </c:pt>
                <c:pt idx="39">
                  <c:v>3882</c:v>
                </c:pt>
                <c:pt idx="40">
                  <c:v>4212</c:v>
                </c:pt>
                <c:pt idx="41">
                  <c:v>4359</c:v>
                </c:pt>
                <c:pt idx="42">
                  <c:v>4405</c:v>
                </c:pt>
                <c:pt idx="43">
                  <c:v>4455</c:v>
                </c:pt>
                <c:pt idx="44">
                  <c:v>4455.5</c:v>
                </c:pt>
                <c:pt idx="45">
                  <c:v>4554</c:v>
                </c:pt>
                <c:pt idx="46">
                  <c:v>4641</c:v>
                </c:pt>
                <c:pt idx="47">
                  <c:v>4785.5</c:v>
                </c:pt>
                <c:pt idx="48">
                  <c:v>4887</c:v>
                </c:pt>
                <c:pt idx="49">
                  <c:v>4757</c:v>
                </c:pt>
                <c:pt idx="50">
                  <c:v>4784</c:v>
                </c:pt>
                <c:pt idx="51">
                  <c:v>4981</c:v>
                </c:pt>
                <c:pt idx="52">
                  <c:v>5031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45-441F-9ECC-2861C06A8B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0.01</c:v>
                  </c:pt>
                  <c:pt idx="40">
                    <c:v>1.5E-3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2E-3</c:v>
                  </c:pt>
                  <c:pt idx="45">
                    <c:v>8.9999999999999998E-4</c:v>
                  </c:pt>
                  <c:pt idx="46">
                    <c:v>2.3900000000000001E-2</c:v>
                  </c:pt>
                  <c:pt idx="47">
                    <c:v>1.9300000000000001E-2</c:v>
                  </c:pt>
                  <c:pt idx="48">
                    <c:v>2.0000000000000001E-4</c:v>
                  </c:pt>
                  <c:pt idx="49">
                    <c:v>0.01</c:v>
                  </c:pt>
                  <c:pt idx="50">
                    <c:v>0.01</c:v>
                  </c:pt>
                  <c:pt idx="51">
                    <c:v>2.0000000000000001E-4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0.01</c:v>
                  </c:pt>
                  <c:pt idx="40">
                    <c:v>1.5E-3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2E-3</c:v>
                  </c:pt>
                  <c:pt idx="45">
                    <c:v>8.9999999999999998E-4</c:v>
                  </c:pt>
                  <c:pt idx="46">
                    <c:v>2.3900000000000001E-2</c:v>
                  </c:pt>
                  <c:pt idx="47">
                    <c:v>1.9300000000000001E-2</c:v>
                  </c:pt>
                  <c:pt idx="48">
                    <c:v>2.0000000000000001E-4</c:v>
                  </c:pt>
                  <c:pt idx="49">
                    <c:v>0.01</c:v>
                  </c:pt>
                  <c:pt idx="50">
                    <c:v>0.01</c:v>
                  </c:pt>
                  <c:pt idx="51">
                    <c:v>2.0000000000000001E-4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28</c:v>
                </c:pt>
                <c:pt idx="5">
                  <c:v>33</c:v>
                </c:pt>
                <c:pt idx="6">
                  <c:v>36</c:v>
                </c:pt>
                <c:pt idx="7">
                  <c:v>46</c:v>
                </c:pt>
                <c:pt idx="8">
                  <c:v>48</c:v>
                </c:pt>
                <c:pt idx="9">
                  <c:v>53</c:v>
                </c:pt>
                <c:pt idx="10">
                  <c:v>56</c:v>
                </c:pt>
                <c:pt idx="11">
                  <c:v>74</c:v>
                </c:pt>
                <c:pt idx="12">
                  <c:v>81</c:v>
                </c:pt>
                <c:pt idx="13">
                  <c:v>86</c:v>
                </c:pt>
                <c:pt idx="14">
                  <c:v>91</c:v>
                </c:pt>
                <c:pt idx="15">
                  <c:v>94</c:v>
                </c:pt>
                <c:pt idx="16">
                  <c:v>99</c:v>
                </c:pt>
                <c:pt idx="17">
                  <c:v>102</c:v>
                </c:pt>
                <c:pt idx="18">
                  <c:v>104</c:v>
                </c:pt>
                <c:pt idx="19">
                  <c:v>112</c:v>
                </c:pt>
                <c:pt idx="20">
                  <c:v>129</c:v>
                </c:pt>
                <c:pt idx="21">
                  <c:v>137</c:v>
                </c:pt>
                <c:pt idx="22">
                  <c:v>142</c:v>
                </c:pt>
                <c:pt idx="23">
                  <c:v>911</c:v>
                </c:pt>
                <c:pt idx="24">
                  <c:v>914</c:v>
                </c:pt>
                <c:pt idx="25">
                  <c:v>919</c:v>
                </c:pt>
                <c:pt idx="26">
                  <c:v>949</c:v>
                </c:pt>
                <c:pt idx="27">
                  <c:v>952</c:v>
                </c:pt>
                <c:pt idx="28">
                  <c:v>967</c:v>
                </c:pt>
                <c:pt idx="29">
                  <c:v>973</c:v>
                </c:pt>
                <c:pt idx="30">
                  <c:v>1218</c:v>
                </c:pt>
                <c:pt idx="31">
                  <c:v>2634</c:v>
                </c:pt>
                <c:pt idx="32">
                  <c:v>2866</c:v>
                </c:pt>
                <c:pt idx="33">
                  <c:v>2924</c:v>
                </c:pt>
                <c:pt idx="34">
                  <c:v>2967</c:v>
                </c:pt>
                <c:pt idx="35">
                  <c:v>3106</c:v>
                </c:pt>
                <c:pt idx="36">
                  <c:v>3204</c:v>
                </c:pt>
                <c:pt idx="37">
                  <c:v>3219</c:v>
                </c:pt>
                <c:pt idx="38">
                  <c:v>3252</c:v>
                </c:pt>
                <c:pt idx="39">
                  <c:v>3882</c:v>
                </c:pt>
                <c:pt idx="40">
                  <c:v>4212</c:v>
                </c:pt>
                <c:pt idx="41">
                  <c:v>4359</c:v>
                </c:pt>
                <c:pt idx="42">
                  <c:v>4405</c:v>
                </c:pt>
                <c:pt idx="43">
                  <c:v>4455</c:v>
                </c:pt>
                <c:pt idx="44">
                  <c:v>4455.5</c:v>
                </c:pt>
                <c:pt idx="45">
                  <c:v>4554</c:v>
                </c:pt>
                <c:pt idx="46">
                  <c:v>4641</c:v>
                </c:pt>
                <c:pt idx="47">
                  <c:v>4785.5</c:v>
                </c:pt>
                <c:pt idx="48">
                  <c:v>4887</c:v>
                </c:pt>
                <c:pt idx="49">
                  <c:v>4757</c:v>
                </c:pt>
                <c:pt idx="50">
                  <c:v>4784</c:v>
                </c:pt>
                <c:pt idx="51">
                  <c:v>4981</c:v>
                </c:pt>
                <c:pt idx="52">
                  <c:v>5031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45-441F-9ECC-2861C06A8B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0.01</c:v>
                  </c:pt>
                  <c:pt idx="40">
                    <c:v>1.5E-3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2E-3</c:v>
                  </c:pt>
                  <c:pt idx="45">
                    <c:v>8.9999999999999998E-4</c:v>
                  </c:pt>
                  <c:pt idx="46">
                    <c:v>2.3900000000000001E-2</c:v>
                  </c:pt>
                  <c:pt idx="47">
                    <c:v>1.9300000000000001E-2</c:v>
                  </c:pt>
                  <c:pt idx="48">
                    <c:v>2.0000000000000001E-4</c:v>
                  </c:pt>
                  <c:pt idx="49">
                    <c:v>0.01</c:v>
                  </c:pt>
                  <c:pt idx="50">
                    <c:v>0.01</c:v>
                  </c:pt>
                  <c:pt idx="51">
                    <c:v>2.0000000000000001E-4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0.01</c:v>
                  </c:pt>
                  <c:pt idx="40">
                    <c:v>1.5E-3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2E-3</c:v>
                  </c:pt>
                  <c:pt idx="45">
                    <c:v>8.9999999999999998E-4</c:v>
                  </c:pt>
                  <c:pt idx="46">
                    <c:v>2.3900000000000001E-2</c:v>
                  </c:pt>
                  <c:pt idx="47">
                    <c:v>1.9300000000000001E-2</c:v>
                  </c:pt>
                  <c:pt idx="48">
                    <c:v>2.0000000000000001E-4</c:v>
                  </c:pt>
                  <c:pt idx="49">
                    <c:v>0.01</c:v>
                  </c:pt>
                  <c:pt idx="50">
                    <c:v>0.01</c:v>
                  </c:pt>
                  <c:pt idx="51">
                    <c:v>2.0000000000000001E-4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28</c:v>
                </c:pt>
                <c:pt idx="5">
                  <c:v>33</c:v>
                </c:pt>
                <c:pt idx="6">
                  <c:v>36</c:v>
                </c:pt>
                <c:pt idx="7">
                  <c:v>46</c:v>
                </c:pt>
                <c:pt idx="8">
                  <c:v>48</c:v>
                </c:pt>
                <c:pt idx="9">
                  <c:v>53</c:v>
                </c:pt>
                <c:pt idx="10">
                  <c:v>56</c:v>
                </c:pt>
                <c:pt idx="11">
                  <c:v>74</c:v>
                </c:pt>
                <c:pt idx="12">
                  <c:v>81</c:v>
                </c:pt>
                <c:pt idx="13">
                  <c:v>86</c:v>
                </c:pt>
                <c:pt idx="14">
                  <c:v>91</c:v>
                </c:pt>
                <c:pt idx="15">
                  <c:v>94</c:v>
                </c:pt>
                <c:pt idx="16">
                  <c:v>99</c:v>
                </c:pt>
                <c:pt idx="17">
                  <c:v>102</c:v>
                </c:pt>
                <c:pt idx="18">
                  <c:v>104</c:v>
                </c:pt>
                <c:pt idx="19">
                  <c:v>112</c:v>
                </c:pt>
                <c:pt idx="20">
                  <c:v>129</c:v>
                </c:pt>
                <c:pt idx="21">
                  <c:v>137</c:v>
                </c:pt>
                <c:pt idx="22">
                  <c:v>142</c:v>
                </c:pt>
                <c:pt idx="23">
                  <c:v>911</c:v>
                </c:pt>
                <c:pt idx="24">
                  <c:v>914</c:v>
                </c:pt>
                <c:pt idx="25">
                  <c:v>919</c:v>
                </c:pt>
                <c:pt idx="26">
                  <c:v>949</c:v>
                </c:pt>
                <c:pt idx="27">
                  <c:v>952</c:v>
                </c:pt>
                <c:pt idx="28">
                  <c:v>967</c:v>
                </c:pt>
                <c:pt idx="29">
                  <c:v>973</c:v>
                </c:pt>
                <c:pt idx="30">
                  <c:v>1218</c:v>
                </c:pt>
                <c:pt idx="31">
                  <c:v>2634</c:v>
                </c:pt>
                <c:pt idx="32">
                  <c:v>2866</c:v>
                </c:pt>
                <c:pt idx="33">
                  <c:v>2924</c:v>
                </c:pt>
                <c:pt idx="34">
                  <c:v>2967</c:v>
                </c:pt>
                <c:pt idx="35">
                  <c:v>3106</c:v>
                </c:pt>
                <c:pt idx="36">
                  <c:v>3204</c:v>
                </c:pt>
                <c:pt idx="37">
                  <c:v>3219</c:v>
                </c:pt>
                <c:pt idx="38">
                  <c:v>3252</c:v>
                </c:pt>
                <c:pt idx="39">
                  <c:v>3882</c:v>
                </c:pt>
                <c:pt idx="40">
                  <c:v>4212</c:v>
                </c:pt>
                <c:pt idx="41">
                  <c:v>4359</c:v>
                </c:pt>
                <c:pt idx="42">
                  <c:v>4405</c:v>
                </c:pt>
                <c:pt idx="43">
                  <c:v>4455</c:v>
                </c:pt>
                <c:pt idx="44">
                  <c:v>4455.5</c:v>
                </c:pt>
                <c:pt idx="45">
                  <c:v>4554</c:v>
                </c:pt>
                <c:pt idx="46">
                  <c:v>4641</c:v>
                </c:pt>
                <c:pt idx="47">
                  <c:v>4785.5</c:v>
                </c:pt>
                <c:pt idx="48">
                  <c:v>4887</c:v>
                </c:pt>
                <c:pt idx="49">
                  <c:v>4757</c:v>
                </c:pt>
                <c:pt idx="50">
                  <c:v>4784</c:v>
                </c:pt>
                <c:pt idx="51">
                  <c:v>4981</c:v>
                </c:pt>
                <c:pt idx="52">
                  <c:v>5031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45-441F-9ECC-2861C06A8B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28</c:v>
                </c:pt>
                <c:pt idx="5">
                  <c:v>33</c:v>
                </c:pt>
                <c:pt idx="6">
                  <c:v>36</c:v>
                </c:pt>
                <c:pt idx="7">
                  <c:v>46</c:v>
                </c:pt>
                <c:pt idx="8">
                  <c:v>48</c:v>
                </c:pt>
                <c:pt idx="9">
                  <c:v>53</c:v>
                </c:pt>
                <c:pt idx="10">
                  <c:v>56</c:v>
                </c:pt>
                <c:pt idx="11">
                  <c:v>74</c:v>
                </c:pt>
                <c:pt idx="12">
                  <c:v>81</c:v>
                </c:pt>
                <c:pt idx="13">
                  <c:v>86</c:v>
                </c:pt>
                <c:pt idx="14">
                  <c:v>91</c:v>
                </c:pt>
                <c:pt idx="15">
                  <c:v>94</c:v>
                </c:pt>
                <c:pt idx="16">
                  <c:v>99</c:v>
                </c:pt>
                <c:pt idx="17">
                  <c:v>102</c:v>
                </c:pt>
                <c:pt idx="18">
                  <c:v>104</c:v>
                </c:pt>
                <c:pt idx="19">
                  <c:v>112</c:v>
                </c:pt>
                <c:pt idx="20">
                  <c:v>129</c:v>
                </c:pt>
                <c:pt idx="21">
                  <c:v>137</c:v>
                </c:pt>
                <c:pt idx="22">
                  <c:v>142</c:v>
                </c:pt>
                <c:pt idx="23">
                  <c:v>911</c:v>
                </c:pt>
                <c:pt idx="24">
                  <c:v>914</c:v>
                </c:pt>
                <c:pt idx="25">
                  <c:v>919</c:v>
                </c:pt>
                <c:pt idx="26">
                  <c:v>949</c:v>
                </c:pt>
                <c:pt idx="27">
                  <c:v>952</c:v>
                </c:pt>
                <c:pt idx="28">
                  <c:v>967</c:v>
                </c:pt>
                <c:pt idx="29">
                  <c:v>973</c:v>
                </c:pt>
                <c:pt idx="30">
                  <c:v>1218</c:v>
                </c:pt>
                <c:pt idx="31">
                  <c:v>2634</c:v>
                </c:pt>
                <c:pt idx="32">
                  <c:v>2866</c:v>
                </c:pt>
                <c:pt idx="33">
                  <c:v>2924</c:v>
                </c:pt>
                <c:pt idx="34">
                  <c:v>2967</c:v>
                </c:pt>
                <c:pt idx="35">
                  <c:v>3106</c:v>
                </c:pt>
                <c:pt idx="36">
                  <c:v>3204</c:v>
                </c:pt>
                <c:pt idx="37">
                  <c:v>3219</c:v>
                </c:pt>
                <c:pt idx="38">
                  <c:v>3252</c:v>
                </c:pt>
                <c:pt idx="39">
                  <c:v>3882</c:v>
                </c:pt>
                <c:pt idx="40">
                  <c:v>4212</c:v>
                </c:pt>
                <c:pt idx="41">
                  <c:v>4359</c:v>
                </c:pt>
                <c:pt idx="42">
                  <c:v>4405</c:v>
                </c:pt>
                <c:pt idx="43">
                  <c:v>4455</c:v>
                </c:pt>
                <c:pt idx="44">
                  <c:v>4455.5</c:v>
                </c:pt>
                <c:pt idx="45">
                  <c:v>4554</c:v>
                </c:pt>
                <c:pt idx="46">
                  <c:v>4641</c:v>
                </c:pt>
                <c:pt idx="47">
                  <c:v>4785.5</c:v>
                </c:pt>
                <c:pt idx="48">
                  <c:v>4887</c:v>
                </c:pt>
                <c:pt idx="49">
                  <c:v>4757</c:v>
                </c:pt>
                <c:pt idx="50">
                  <c:v>4784</c:v>
                </c:pt>
                <c:pt idx="51">
                  <c:v>4981</c:v>
                </c:pt>
                <c:pt idx="52">
                  <c:v>5031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-0.11276515493469036</c:v>
                </c:pt>
                <c:pt idx="1">
                  <c:v>-0.11276515493469036</c:v>
                </c:pt>
                <c:pt idx="2">
                  <c:v>-0.11276515493469036</c:v>
                </c:pt>
                <c:pt idx="3">
                  <c:v>-0.11198770952446198</c:v>
                </c:pt>
                <c:pt idx="4">
                  <c:v>-0.11189441607523458</c:v>
                </c:pt>
                <c:pt idx="5">
                  <c:v>-0.11173892699318891</c:v>
                </c:pt>
                <c:pt idx="6">
                  <c:v>-0.11164563354396149</c:v>
                </c:pt>
                <c:pt idx="7">
                  <c:v>-0.11133465537987014</c:v>
                </c:pt>
                <c:pt idx="8">
                  <c:v>-0.11127245974705188</c:v>
                </c:pt>
                <c:pt idx="9">
                  <c:v>-0.1111169706650062</c:v>
                </c:pt>
                <c:pt idx="10">
                  <c:v>-0.1110236772157788</c:v>
                </c:pt>
                <c:pt idx="11">
                  <c:v>-0.11046391652041436</c:v>
                </c:pt>
                <c:pt idx="12">
                  <c:v>-0.11024623180555042</c:v>
                </c:pt>
                <c:pt idx="13">
                  <c:v>-0.11009074272350475</c:v>
                </c:pt>
                <c:pt idx="14">
                  <c:v>-0.10993525364145906</c:v>
                </c:pt>
                <c:pt idx="15">
                  <c:v>-0.10984196019223166</c:v>
                </c:pt>
                <c:pt idx="16">
                  <c:v>-0.10968647111018599</c:v>
                </c:pt>
                <c:pt idx="17">
                  <c:v>-0.10959317766095858</c:v>
                </c:pt>
                <c:pt idx="18">
                  <c:v>-0.10953098202814031</c:v>
                </c:pt>
                <c:pt idx="19">
                  <c:v>-0.10928219949686724</c:v>
                </c:pt>
                <c:pt idx="20">
                  <c:v>-0.10875353661791194</c:v>
                </c:pt>
                <c:pt idx="21">
                  <c:v>-0.10850475408663886</c:v>
                </c:pt>
                <c:pt idx="22">
                  <c:v>-0.10834926500459319</c:v>
                </c:pt>
                <c:pt idx="23">
                  <c:v>-8.4435044185968325E-2</c:v>
                </c:pt>
                <c:pt idx="24">
                  <c:v>-8.4341750736740925E-2</c:v>
                </c:pt>
                <c:pt idx="25">
                  <c:v>-8.4186261654695255E-2</c:v>
                </c:pt>
                <c:pt idx="26">
                  <c:v>-8.3253327162421203E-2</c:v>
                </c:pt>
                <c:pt idx="27">
                  <c:v>-8.316003371319379E-2</c:v>
                </c:pt>
                <c:pt idx="28">
                  <c:v>-8.2693566467056764E-2</c:v>
                </c:pt>
                <c:pt idx="29">
                  <c:v>-8.2506979568601951E-2</c:v>
                </c:pt>
                <c:pt idx="30">
                  <c:v>-7.4888014548363871E-2</c:v>
                </c:pt>
                <c:pt idx="31">
                  <c:v>-3.0853506513028636E-2</c:v>
                </c:pt>
                <c:pt idx="32">
                  <c:v>-2.363881310610931E-2</c:v>
                </c:pt>
                <c:pt idx="33">
                  <c:v>-2.1835139754379479E-2</c:v>
                </c:pt>
                <c:pt idx="34">
                  <c:v>-2.0497933648786673E-2</c:v>
                </c:pt>
                <c:pt idx="35">
                  <c:v>-1.6175337167916901E-2</c:v>
                </c:pt>
                <c:pt idx="36">
                  <c:v>-1.3127751159821663E-2</c:v>
                </c:pt>
                <c:pt idx="37">
                  <c:v>-1.2661283913684637E-2</c:v>
                </c:pt>
                <c:pt idx="38">
                  <c:v>-1.1635055972183173E-2</c:v>
                </c:pt>
                <c:pt idx="39">
                  <c:v>7.9565683655719033E-3</c:v>
                </c:pt>
                <c:pt idx="40">
                  <c:v>1.8218847780586467E-2</c:v>
                </c:pt>
                <c:pt idx="41">
                  <c:v>2.2790226792729323E-2</c:v>
                </c:pt>
                <c:pt idx="42">
                  <c:v>2.4220726347549543E-2</c:v>
                </c:pt>
                <c:pt idx="43">
                  <c:v>2.5775617168006276E-2</c:v>
                </c:pt>
                <c:pt idx="44">
                  <c:v>2.5791166076210847E-2</c:v>
                </c:pt>
                <c:pt idx="45">
                  <c:v>2.8854300992510656E-2</c:v>
                </c:pt>
                <c:pt idx="46">
                  <c:v>3.1559811020105411E-2</c:v>
                </c:pt>
                <c:pt idx="47">
                  <c:v>3.6053445491225411E-2</c:v>
                </c:pt>
                <c:pt idx="48">
                  <c:v>3.9209873856752619E-2</c:v>
                </c:pt>
                <c:pt idx="49">
                  <c:v>3.5167157723565073E-2</c:v>
                </c:pt>
                <c:pt idx="50">
                  <c:v>3.6006798766611725E-2</c:v>
                </c:pt>
                <c:pt idx="51">
                  <c:v>4.2133068599211315E-2</c:v>
                </c:pt>
                <c:pt idx="52">
                  <c:v>4.3687959419668076E-2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45-441F-9ECC-2861C06A8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04544"/>
        <c:axId val="1"/>
      </c:scatterChart>
      <c:valAx>
        <c:axId val="668304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9393544015090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87688822134227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304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1600190149639"/>
          <c:y val="0.92000129214617399"/>
          <c:w val="0.8053964063740587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18</xdr:col>
      <xdr:colOff>314325</xdr:colOff>
      <xdr:row>18</xdr:row>
      <xdr:rowOff>19050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B7205D0D-FFB2-D55D-A0B8-FCC037F7E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bav-astro.de/sfs/BAVM_link.php?BAVMnr=15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01" TargetMode="External"/><Relationship Id="rId5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26"/>
  <sheetViews>
    <sheetView tabSelected="1" workbookViewId="0">
      <pane xSplit="14" ySplit="22" topLeftCell="O55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25</v>
      </c>
      <c r="B2" s="9" t="s">
        <v>38</v>
      </c>
    </row>
    <row r="4" spans="1:6" ht="14.25" thickTop="1" thickBot="1" x14ac:dyDescent="0.25">
      <c r="A4" s="6" t="s">
        <v>1</v>
      </c>
      <c r="C4" s="2">
        <v>20707.368999999999</v>
      </c>
      <c r="D4" s="3">
        <v>7.6061329999999998</v>
      </c>
    </row>
    <row r="5" spans="1:6" ht="13.5" thickTop="1" x14ac:dyDescent="0.2">
      <c r="A5" s="11" t="s">
        <v>40</v>
      </c>
      <c r="B5" s="10"/>
      <c r="C5" s="12">
        <v>-9.5</v>
      </c>
      <c r="D5" s="10" t="s">
        <v>41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20707.368999999999</v>
      </c>
    </row>
    <row r="8" spans="1:6" x14ac:dyDescent="0.2">
      <c r="A8" t="s">
        <v>4</v>
      </c>
      <c r="C8">
        <f>+D4</f>
        <v>7.6061329999999998</v>
      </c>
    </row>
    <row r="9" spans="1:6" x14ac:dyDescent="0.2">
      <c r="A9" s="25" t="s">
        <v>45</v>
      </c>
      <c r="B9" s="26">
        <v>61</v>
      </c>
      <c r="C9" s="14" t="str">
        <f>"F"&amp;B9</f>
        <v>F61</v>
      </c>
      <c r="D9" s="15" t="str">
        <f>"G"&amp;B9</f>
        <v>G61</v>
      </c>
    </row>
    <row r="10" spans="1:6" ht="13.5" thickBot="1" x14ac:dyDescent="0.25">
      <c r="A10" s="10"/>
      <c r="B10" s="10"/>
      <c r="C10" s="5" t="s">
        <v>21</v>
      </c>
      <c r="D10" s="5" t="s">
        <v>22</v>
      </c>
      <c r="E10" s="10"/>
    </row>
    <row r="11" spans="1:6" x14ac:dyDescent="0.2">
      <c r="A11" s="10" t="s">
        <v>17</v>
      </c>
      <c r="B11" s="10"/>
      <c r="C11" s="13">
        <f ca="1">INTERCEPT(INDIRECT($D$9):G992,INDIRECT($C$9):F992)</f>
        <v>-0.11276515493469036</v>
      </c>
      <c r="D11" s="4"/>
      <c r="E11" s="10"/>
    </row>
    <row r="12" spans="1:6" x14ac:dyDescent="0.2">
      <c r="A12" s="10" t="s">
        <v>18</v>
      </c>
      <c r="B12" s="10"/>
      <c r="C12" s="13">
        <f ca="1">SLOPE(INDIRECT($D$9):G992,INDIRECT($C$9):F992)</f>
        <v>3.109781640913505E-5</v>
      </c>
      <c r="D12" s="4"/>
      <c r="E12" s="10"/>
    </row>
    <row r="13" spans="1:6" x14ac:dyDescent="0.2">
      <c r="A13" s="10" t="s">
        <v>20</v>
      </c>
      <c r="B13" s="10"/>
      <c r="C13" s="4" t="s">
        <v>15</v>
      </c>
    </row>
    <row r="14" spans="1:6" x14ac:dyDescent="0.2">
      <c r="A14" s="10"/>
      <c r="B14" s="10"/>
      <c r="C14" s="10"/>
    </row>
    <row r="15" spans="1:6" x14ac:dyDescent="0.2">
      <c r="A15" s="16" t="s">
        <v>19</v>
      </c>
      <c r="B15" s="10"/>
      <c r="C15" s="17">
        <f ca="1">(C7+C11)+(C8+C12)*INT(MAX(F21:F3533))</f>
        <v>58973.867810959418</v>
      </c>
      <c r="E15" s="18" t="s">
        <v>48</v>
      </c>
      <c r="F15" s="12">
        <v>1</v>
      </c>
    </row>
    <row r="16" spans="1:6" x14ac:dyDescent="0.2">
      <c r="A16" s="20" t="s">
        <v>5</v>
      </c>
      <c r="B16" s="10"/>
      <c r="C16" s="21">
        <f ca="1">+C8+C12</f>
        <v>7.6061640978164089</v>
      </c>
      <c r="E16" s="18" t="s">
        <v>42</v>
      </c>
      <c r="F16" s="19">
        <f ca="1">NOW()+15018.5+$C$5/24</f>
        <v>60324.757222916662</v>
      </c>
    </row>
    <row r="17" spans="1:21" ht="13.5" thickBot="1" x14ac:dyDescent="0.25">
      <c r="A17" s="18" t="s">
        <v>36</v>
      </c>
      <c r="B17" s="10"/>
      <c r="C17" s="10">
        <f>COUNT(C21:C2191)</f>
        <v>53</v>
      </c>
      <c r="E17" s="18" t="s">
        <v>49</v>
      </c>
      <c r="F17" s="19">
        <f ca="1">ROUND(2*(F16-$C$7)/$C$8,0)/2+F15</f>
        <v>5209.5</v>
      </c>
    </row>
    <row r="18" spans="1:21" ht="14.25" thickTop="1" thickBot="1" x14ac:dyDescent="0.25">
      <c r="A18" s="20" t="s">
        <v>6</v>
      </c>
      <c r="B18" s="10"/>
      <c r="C18" s="23">
        <f ca="1">+C15</f>
        <v>58973.867810959418</v>
      </c>
      <c r="D18" s="24">
        <f ca="1">+C16</f>
        <v>7.6061640978164089</v>
      </c>
      <c r="E18" s="18" t="s">
        <v>43</v>
      </c>
      <c r="F18" s="15">
        <f ca="1">ROUND(2*(F16-$C$15)/$C$16,0)/2+F15</f>
        <v>178.5</v>
      </c>
    </row>
    <row r="19" spans="1:21" ht="13.5" thickTop="1" x14ac:dyDescent="0.2">
      <c r="E19" s="18" t="s">
        <v>44</v>
      </c>
      <c r="F19" s="22">
        <f ca="1">+$C$15+$C$16*F18-15018.5-$C$5/24</f>
        <v>45313.463935752981</v>
      </c>
    </row>
    <row r="20" spans="1:21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61</v>
      </c>
      <c r="I20" s="8" t="s">
        <v>64</v>
      </c>
      <c r="J20" s="8" t="s">
        <v>58</v>
      </c>
      <c r="K20" s="8" t="s">
        <v>56</v>
      </c>
      <c r="L20" s="8" t="s">
        <v>26</v>
      </c>
      <c r="M20" s="8" t="s">
        <v>52</v>
      </c>
      <c r="N20" s="8" t="s">
        <v>27</v>
      </c>
      <c r="O20" s="8" t="s">
        <v>24</v>
      </c>
      <c r="P20" s="7" t="s">
        <v>23</v>
      </c>
      <c r="Q20" s="5" t="s">
        <v>16</v>
      </c>
    </row>
    <row r="21" spans="1:21" x14ac:dyDescent="0.2">
      <c r="A21" s="27" t="s">
        <v>13</v>
      </c>
      <c r="B21" s="27"/>
      <c r="C21" s="29">
        <v>20707.368999999999</v>
      </c>
      <c r="D21" s="29" t="s">
        <v>15</v>
      </c>
      <c r="E21" s="27">
        <f t="shared" ref="E21:E52" si="0">+(C21-C$7)/C$8</f>
        <v>0</v>
      </c>
      <c r="F21" s="27">
        <f t="shared" ref="F21:F52" si="1">ROUND(2*E21,0)/2</f>
        <v>0</v>
      </c>
      <c r="H21" s="27"/>
      <c r="I21" s="27">
        <f>+C21-(C$7+F21*C$8)</f>
        <v>0</v>
      </c>
      <c r="J21" s="27"/>
      <c r="K21" s="27"/>
      <c r="L21" s="27"/>
      <c r="M21" s="27"/>
      <c r="N21" s="27"/>
      <c r="O21" s="27">
        <f t="shared" ref="O21:O52" ca="1" si="2">+C$11+C$12*F21</f>
        <v>-0.11276515493469036</v>
      </c>
      <c r="P21" s="27"/>
      <c r="Q21" s="28">
        <f t="shared" ref="Q21:Q52" si="3">+C21-15018.5</f>
        <v>5688.8689999999988</v>
      </c>
      <c r="R21" s="27"/>
      <c r="S21" s="27"/>
      <c r="T21" s="27"/>
    </row>
    <row r="22" spans="1:21" x14ac:dyDescent="0.2">
      <c r="A22" s="48" t="s">
        <v>70</v>
      </c>
      <c r="B22" s="49" t="s">
        <v>47</v>
      </c>
      <c r="C22" s="48">
        <v>20707.375</v>
      </c>
      <c r="D22" s="48" t="s">
        <v>64</v>
      </c>
      <c r="E22" s="27">
        <f t="shared" si="0"/>
        <v>7.88837113579576E-4</v>
      </c>
      <c r="F22" s="27">
        <f t="shared" si="1"/>
        <v>0</v>
      </c>
      <c r="G22" s="27">
        <f t="shared" ref="G22:G69" si="4">+C22-(C$7+F22*C$8)</f>
        <v>6.0000000012223609E-3</v>
      </c>
      <c r="H22" s="27">
        <f t="shared" ref="H22:H42" si="5">+C22-(C$7+F22*C$8)</f>
        <v>6.0000000012223609E-3</v>
      </c>
      <c r="I22" s="27"/>
      <c r="J22" s="27"/>
      <c r="K22" s="27"/>
      <c r="L22" s="27"/>
      <c r="M22" s="27"/>
      <c r="N22" s="27"/>
      <c r="O22" s="27">
        <f t="shared" ca="1" si="2"/>
        <v>-0.11276515493469036</v>
      </c>
      <c r="P22" s="27"/>
      <c r="Q22" s="28">
        <f t="shared" si="3"/>
        <v>5688.875</v>
      </c>
      <c r="R22" s="27"/>
      <c r="S22" s="27"/>
      <c r="T22" s="27"/>
      <c r="U22" s="27"/>
    </row>
    <row r="23" spans="1:21" x14ac:dyDescent="0.2">
      <c r="A23" s="48" t="s">
        <v>76</v>
      </c>
      <c r="B23" s="49" t="s">
        <v>47</v>
      </c>
      <c r="C23" s="48">
        <v>20707.46</v>
      </c>
      <c r="D23" s="48" t="s">
        <v>64</v>
      </c>
      <c r="E23" s="27">
        <f t="shared" si="0"/>
        <v>1.1964029553565425E-2</v>
      </c>
      <c r="F23" s="27">
        <f t="shared" si="1"/>
        <v>0</v>
      </c>
      <c r="G23" s="27">
        <f t="shared" si="4"/>
        <v>9.1000000000349246E-2</v>
      </c>
      <c r="H23" s="27">
        <f t="shared" si="5"/>
        <v>9.1000000000349246E-2</v>
      </c>
      <c r="I23" s="27"/>
      <c r="J23" s="27"/>
      <c r="K23" s="27"/>
      <c r="L23" s="27"/>
      <c r="M23" s="27"/>
      <c r="N23" s="27"/>
      <c r="O23" s="27">
        <f t="shared" ca="1" si="2"/>
        <v>-0.11276515493469036</v>
      </c>
      <c r="P23" s="27"/>
      <c r="Q23" s="28">
        <f t="shared" si="3"/>
        <v>5688.9599999999991</v>
      </c>
      <c r="R23" s="27"/>
      <c r="S23" s="27"/>
      <c r="T23" s="27"/>
      <c r="U23" s="27"/>
    </row>
    <row r="24" spans="1:21" x14ac:dyDescent="0.2">
      <c r="A24" s="48" t="s">
        <v>76</v>
      </c>
      <c r="B24" s="49" t="s">
        <v>47</v>
      </c>
      <c r="C24" s="48">
        <v>20897.53</v>
      </c>
      <c r="D24" s="48" t="s">
        <v>64</v>
      </c>
      <c r="E24" s="27">
        <f t="shared" si="0"/>
        <v>25.001009054140923</v>
      </c>
      <c r="F24" s="27">
        <f t="shared" si="1"/>
        <v>25</v>
      </c>
      <c r="G24" s="27">
        <f t="shared" si="4"/>
        <v>7.6750000007450581E-3</v>
      </c>
      <c r="H24" s="27">
        <f t="shared" si="5"/>
        <v>7.6750000007450581E-3</v>
      </c>
      <c r="I24" s="27"/>
      <c r="J24" s="27"/>
      <c r="K24" s="27"/>
      <c r="L24" s="27"/>
      <c r="M24" s="27"/>
      <c r="N24" s="27"/>
      <c r="O24" s="27">
        <f t="shared" ca="1" si="2"/>
        <v>-0.11198770952446198</v>
      </c>
      <c r="P24" s="27"/>
      <c r="Q24" s="28">
        <f t="shared" si="3"/>
        <v>5879.0299999999988</v>
      </c>
      <c r="R24" s="27"/>
      <c r="S24" s="27"/>
      <c r="T24" s="27"/>
      <c r="U24" s="27"/>
    </row>
    <row r="25" spans="1:21" x14ac:dyDescent="0.2">
      <c r="A25" s="48" t="s">
        <v>76</v>
      </c>
      <c r="B25" s="49" t="s">
        <v>47</v>
      </c>
      <c r="C25" s="48">
        <v>20920.38</v>
      </c>
      <c r="D25" s="48" t="s">
        <v>64</v>
      </c>
      <c r="E25" s="27">
        <f t="shared" si="0"/>
        <v>28.005163727744737</v>
      </c>
      <c r="F25" s="27">
        <f t="shared" si="1"/>
        <v>28</v>
      </c>
      <c r="G25" s="27">
        <f t="shared" si="4"/>
        <v>3.9276000003155787E-2</v>
      </c>
      <c r="H25" s="27">
        <f t="shared" si="5"/>
        <v>3.9276000003155787E-2</v>
      </c>
      <c r="I25" s="27"/>
      <c r="J25" s="27"/>
      <c r="K25" s="27"/>
      <c r="L25" s="27"/>
      <c r="M25" s="27"/>
      <c r="N25" s="27"/>
      <c r="O25" s="27">
        <f t="shared" ca="1" si="2"/>
        <v>-0.11189441607523458</v>
      </c>
      <c r="P25" s="27"/>
      <c r="Q25" s="28">
        <f t="shared" si="3"/>
        <v>5901.880000000001</v>
      </c>
      <c r="R25" s="27"/>
      <c r="S25" s="27"/>
      <c r="T25" s="27"/>
      <c r="U25" s="27"/>
    </row>
    <row r="26" spans="1:21" x14ac:dyDescent="0.2">
      <c r="A26" s="48" t="s">
        <v>76</v>
      </c>
      <c r="B26" s="49" t="s">
        <v>47</v>
      </c>
      <c r="C26" s="48">
        <v>20958.41</v>
      </c>
      <c r="D26" s="48" t="s">
        <v>64</v>
      </c>
      <c r="E26" s="27">
        <f t="shared" si="0"/>
        <v>33.005076298297844</v>
      </c>
      <c r="F26" s="27">
        <f t="shared" si="1"/>
        <v>33</v>
      </c>
      <c r="G26" s="27">
        <f t="shared" si="4"/>
        <v>3.8610999999946216E-2</v>
      </c>
      <c r="H26" s="27">
        <f t="shared" si="5"/>
        <v>3.8610999999946216E-2</v>
      </c>
      <c r="I26" s="27"/>
      <c r="J26" s="27"/>
      <c r="K26" s="27"/>
      <c r="L26" s="27"/>
      <c r="M26" s="27"/>
      <c r="N26" s="27"/>
      <c r="O26" s="27">
        <f t="shared" ca="1" si="2"/>
        <v>-0.11173892699318891</v>
      </c>
      <c r="P26" s="27"/>
      <c r="Q26" s="28">
        <f t="shared" si="3"/>
        <v>5939.91</v>
      </c>
      <c r="R26" s="27"/>
      <c r="S26" s="27"/>
      <c r="T26" s="27"/>
      <c r="U26" s="27"/>
    </row>
    <row r="27" spans="1:21" x14ac:dyDescent="0.2">
      <c r="A27" s="48" t="s">
        <v>76</v>
      </c>
      <c r="B27" s="49" t="s">
        <v>47</v>
      </c>
      <c r="C27" s="48">
        <v>20981.26</v>
      </c>
      <c r="D27" s="48" t="s">
        <v>64</v>
      </c>
      <c r="E27" s="27">
        <f t="shared" si="0"/>
        <v>36.009230971901182</v>
      </c>
      <c r="F27" s="27">
        <f t="shared" si="1"/>
        <v>36</v>
      </c>
      <c r="G27" s="27">
        <f t="shared" si="4"/>
        <v>7.0211999998718966E-2</v>
      </c>
      <c r="H27" s="27">
        <f t="shared" si="5"/>
        <v>7.0211999998718966E-2</v>
      </c>
      <c r="I27" s="27"/>
      <c r="J27" s="27"/>
      <c r="K27" s="27"/>
      <c r="L27" s="27"/>
      <c r="M27" s="27"/>
      <c r="N27" s="27"/>
      <c r="O27" s="27">
        <f t="shared" ca="1" si="2"/>
        <v>-0.11164563354396149</v>
      </c>
      <c r="P27" s="27"/>
      <c r="Q27" s="28">
        <f t="shared" si="3"/>
        <v>5962.7599999999984</v>
      </c>
      <c r="R27" s="27"/>
      <c r="S27" s="27"/>
      <c r="T27" s="27"/>
      <c r="U27" s="27"/>
    </row>
    <row r="28" spans="1:21" x14ac:dyDescent="0.2">
      <c r="A28" s="48" t="s">
        <v>76</v>
      </c>
      <c r="B28" s="49" t="s">
        <v>47</v>
      </c>
      <c r="C28" s="48">
        <v>21057.34</v>
      </c>
      <c r="D28" s="48" t="s">
        <v>64</v>
      </c>
      <c r="E28" s="27">
        <f t="shared" si="0"/>
        <v>46.011685570052663</v>
      </c>
      <c r="F28" s="27">
        <f t="shared" si="1"/>
        <v>46</v>
      </c>
      <c r="G28" s="27">
        <f t="shared" si="4"/>
        <v>8.888200000001234E-2</v>
      </c>
      <c r="H28" s="27">
        <f t="shared" si="5"/>
        <v>8.888200000001234E-2</v>
      </c>
      <c r="I28" s="27"/>
      <c r="J28" s="27"/>
      <c r="K28" s="27"/>
      <c r="L28" s="27"/>
      <c r="M28" s="27"/>
      <c r="N28" s="27"/>
      <c r="O28" s="27">
        <f t="shared" ca="1" si="2"/>
        <v>-0.11133465537987014</v>
      </c>
      <c r="P28" s="27"/>
      <c r="Q28" s="28">
        <f t="shared" si="3"/>
        <v>6038.84</v>
      </c>
      <c r="R28" s="27"/>
      <c r="S28" s="27"/>
      <c r="T28" s="27"/>
      <c r="U28" s="27"/>
    </row>
    <row r="29" spans="1:21" x14ac:dyDescent="0.2">
      <c r="A29" s="48" t="s">
        <v>76</v>
      </c>
      <c r="B29" s="49" t="s">
        <v>47</v>
      </c>
      <c r="C29" s="48">
        <v>21072.42</v>
      </c>
      <c r="D29" s="48" t="s">
        <v>64</v>
      </c>
      <c r="E29" s="27">
        <f t="shared" si="0"/>
        <v>47.994296181778502</v>
      </c>
      <c r="F29" s="27">
        <f t="shared" si="1"/>
        <v>48</v>
      </c>
      <c r="G29" s="27">
        <f t="shared" si="4"/>
        <v>-4.3384000000514789E-2</v>
      </c>
      <c r="H29" s="27">
        <f t="shared" si="5"/>
        <v>-4.3384000000514789E-2</v>
      </c>
      <c r="I29" s="27"/>
      <c r="J29" s="27"/>
      <c r="K29" s="27"/>
      <c r="L29" s="27"/>
      <c r="M29" s="27"/>
      <c r="N29" s="27"/>
      <c r="O29" s="27">
        <f t="shared" ca="1" si="2"/>
        <v>-0.11127245974705188</v>
      </c>
      <c r="P29" s="27"/>
      <c r="Q29" s="28">
        <f t="shared" si="3"/>
        <v>6053.9199999999983</v>
      </c>
      <c r="R29" s="27"/>
      <c r="S29" s="27"/>
      <c r="T29" s="27"/>
      <c r="U29" s="27"/>
    </row>
    <row r="30" spans="1:21" x14ac:dyDescent="0.2">
      <c r="A30" s="48" t="s">
        <v>76</v>
      </c>
      <c r="B30" s="49" t="s">
        <v>47</v>
      </c>
      <c r="C30" s="48">
        <v>21110.46</v>
      </c>
      <c r="D30" s="48" t="s">
        <v>64</v>
      </c>
      <c r="E30" s="27">
        <f t="shared" si="0"/>
        <v>52.995523480854246</v>
      </c>
      <c r="F30" s="27">
        <f t="shared" si="1"/>
        <v>53</v>
      </c>
      <c r="G30" s="27">
        <f t="shared" si="4"/>
        <v>-3.4048999998049112E-2</v>
      </c>
      <c r="H30" s="27">
        <f t="shared" si="5"/>
        <v>-3.4048999998049112E-2</v>
      </c>
      <c r="I30" s="27"/>
      <c r="J30" s="27"/>
      <c r="K30" s="27"/>
      <c r="L30" s="27"/>
      <c r="M30" s="27"/>
      <c r="N30" s="27"/>
      <c r="O30" s="27">
        <f t="shared" ca="1" si="2"/>
        <v>-0.1111169706650062</v>
      </c>
      <c r="P30" s="27"/>
      <c r="Q30" s="28">
        <f t="shared" si="3"/>
        <v>6091.9599999999991</v>
      </c>
      <c r="R30" s="27"/>
      <c r="S30" s="27"/>
      <c r="T30" s="27"/>
      <c r="U30" s="27"/>
    </row>
    <row r="31" spans="1:21" x14ac:dyDescent="0.2">
      <c r="A31" s="48" t="s">
        <v>76</v>
      </c>
      <c r="B31" s="49" t="s">
        <v>47</v>
      </c>
      <c r="C31" s="48">
        <v>21133.25</v>
      </c>
      <c r="D31" s="48" t="s">
        <v>64</v>
      </c>
      <c r="E31" s="27">
        <f t="shared" si="0"/>
        <v>55.991789783323696</v>
      </c>
      <c r="F31" s="27">
        <f t="shared" si="1"/>
        <v>56</v>
      </c>
      <c r="G31" s="27">
        <f t="shared" si="4"/>
        <v>-6.2447999996948056E-2</v>
      </c>
      <c r="H31" s="27">
        <f t="shared" si="5"/>
        <v>-6.2447999996948056E-2</v>
      </c>
      <c r="I31" s="27"/>
      <c r="J31" s="27"/>
      <c r="K31" s="27"/>
      <c r="L31" s="27"/>
      <c r="M31" s="27"/>
      <c r="N31" s="27"/>
      <c r="O31" s="27">
        <f t="shared" ca="1" si="2"/>
        <v>-0.1110236772157788</v>
      </c>
      <c r="P31" s="27"/>
      <c r="Q31" s="28">
        <f t="shared" si="3"/>
        <v>6114.75</v>
      </c>
      <c r="R31" s="27"/>
      <c r="S31" s="27"/>
      <c r="T31" s="27"/>
      <c r="U31" s="27"/>
    </row>
    <row r="32" spans="1:21" x14ac:dyDescent="0.2">
      <c r="A32" s="48" t="s">
        <v>76</v>
      </c>
      <c r="B32" s="49" t="s">
        <v>47</v>
      </c>
      <c r="C32" s="48">
        <v>21270.32</v>
      </c>
      <c r="D32" s="48" t="s">
        <v>64</v>
      </c>
      <c r="E32" s="27">
        <f t="shared" si="0"/>
        <v>74.012773639377713</v>
      </c>
      <c r="F32" s="27">
        <f t="shared" si="1"/>
        <v>74</v>
      </c>
      <c r="G32" s="27">
        <f t="shared" si="4"/>
        <v>9.7158000000490574E-2</v>
      </c>
      <c r="H32" s="27">
        <f t="shared" si="5"/>
        <v>9.7158000000490574E-2</v>
      </c>
      <c r="I32" s="27"/>
      <c r="J32" s="27"/>
      <c r="K32" s="27"/>
      <c r="L32" s="27"/>
      <c r="M32" s="27"/>
      <c r="N32" s="27"/>
      <c r="O32" s="27">
        <f t="shared" ca="1" si="2"/>
        <v>-0.11046391652041436</v>
      </c>
      <c r="P32" s="27"/>
      <c r="Q32" s="28">
        <f t="shared" si="3"/>
        <v>6251.82</v>
      </c>
      <c r="R32" s="27"/>
      <c r="S32" s="27"/>
      <c r="T32" s="27"/>
      <c r="U32" s="27"/>
    </row>
    <row r="33" spans="1:21" x14ac:dyDescent="0.2">
      <c r="A33" s="48" t="s">
        <v>76</v>
      </c>
      <c r="B33" s="49" t="s">
        <v>47</v>
      </c>
      <c r="C33" s="48">
        <v>21323.35</v>
      </c>
      <c r="D33" s="48" t="s">
        <v>64</v>
      </c>
      <c r="E33" s="27">
        <f t="shared" si="0"/>
        <v>80.984778993478002</v>
      </c>
      <c r="F33" s="27">
        <f t="shared" si="1"/>
        <v>81</v>
      </c>
      <c r="G33" s="27">
        <f t="shared" si="4"/>
        <v>-0.11577300000135438</v>
      </c>
      <c r="H33" s="27">
        <f t="shared" si="5"/>
        <v>-0.11577300000135438</v>
      </c>
      <c r="I33" s="27"/>
      <c r="J33" s="27"/>
      <c r="K33" s="27"/>
      <c r="L33" s="27"/>
      <c r="M33" s="27"/>
      <c r="N33" s="27"/>
      <c r="O33" s="27">
        <f t="shared" ca="1" si="2"/>
        <v>-0.11024623180555042</v>
      </c>
      <c r="P33" s="27"/>
      <c r="Q33" s="28">
        <f t="shared" si="3"/>
        <v>6304.8499999999985</v>
      </c>
      <c r="R33" s="27"/>
      <c r="S33" s="27"/>
      <c r="T33" s="27"/>
      <c r="U33" s="27"/>
    </row>
    <row r="34" spans="1:21" x14ac:dyDescent="0.2">
      <c r="A34" s="48" t="s">
        <v>76</v>
      </c>
      <c r="B34" s="49" t="s">
        <v>47</v>
      </c>
      <c r="C34" s="48">
        <v>21361.49</v>
      </c>
      <c r="D34" s="48" t="s">
        <v>64</v>
      </c>
      <c r="E34" s="27">
        <f t="shared" si="0"/>
        <v>85.999153577777676</v>
      </c>
      <c r="F34" s="27">
        <f t="shared" si="1"/>
        <v>86</v>
      </c>
      <c r="G34" s="27">
        <f t="shared" si="4"/>
        <v>-6.4379999967059121E-3</v>
      </c>
      <c r="H34" s="27">
        <f t="shared" si="5"/>
        <v>-6.4379999967059121E-3</v>
      </c>
      <c r="I34" s="27"/>
      <c r="J34" s="27"/>
      <c r="K34" s="27"/>
      <c r="L34" s="27"/>
      <c r="M34" s="27"/>
      <c r="N34" s="27"/>
      <c r="O34" s="27">
        <f t="shared" ca="1" si="2"/>
        <v>-0.11009074272350475</v>
      </c>
      <c r="P34" s="27"/>
      <c r="Q34" s="28">
        <f t="shared" si="3"/>
        <v>6342.9900000000016</v>
      </c>
      <c r="U34" s="27"/>
    </row>
    <row r="35" spans="1:21" x14ac:dyDescent="0.2">
      <c r="A35" s="48" t="s">
        <v>76</v>
      </c>
      <c r="B35" s="49" t="s">
        <v>47</v>
      </c>
      <c r="C35" s="48">
        <v>21399.4</v>
      </c>
      <c r="D35" s="48" t="s">
        <v>64</v>
      </c>
      <c r="E35" s="27">
        <f t="shared" si="0"/>
        <v>90.983289406062539</v>
      </c>
      <c r="F35" s="27">
        <f t="shared" si="1"/>
        <v>91</v>
      </c>
      <c r="G35" s="27">
        <f t="shared" si="4"/>
        <v>-0.12710299999889685</v>
      </c>
      <c r="H35" s="27">
        <f t="shared" si="5"/>
        <v>-0.12710299999889685</v>
      </c>
      <c r="I35" s="27"/>
      <c r="J35" s="27"/>
      <c r="K35" s="27"/>
      <c r="L35" s="27"/>
      <c r="M35" s="27"/>
      <c r="N35" s="27"/>
      <c r="O35" s="27">
        <f t="shared" ca="1" si="2"/>
        <v>-0.10993525364145906</v>
      </c>
      <c r="P35" s="27"/>
      <c r="Q35" s="28">
        <f t="shared" si="3"/>
        <v>6380.9000000000015</v>
      </c>
      <c r="U35" s="27"/>
    </row>
    <row r="36" spans="1:21" x14ac:dyDescent="0.2">
      <c r="A36" s="48" t="s">
        <v>76</v>
      </c>
      <c r="B36" s="49" t="s">
        <v>47</v>
      </c>
      <c r="C36" s="48">
        <v>21422.44</v>
      </c>
      <c r="D36" s="48" t="s">
        <v>64</v>
      </c>
      <c r="E36" s="27">
        <f t="shared" si="0"/>
        <v>94.012423921590639</v>
      </c>
      <c r="F36" s="27">
        <f t="shared" si="1"/>
        <v>94</v>
      </c>
      <c r="G36" s="27">
        <f t="shared" si="4"/>
        <v>9.4497999998566229E-2</v>
      </c>
      <c r="H36" s="27">
        <f t="shared" si="5"/>
        <v>9.4497999998566229E-2</v>
      </c>
      <c r="I36" s="27"/>
      <c r="J36" s="27"/>
      <c r="K36" s="27"/>
      <c r="L36" s="27"/>
      <c r="M36" s="27"/>
      <c r="N36" s="27"/>
      <c r="O36" s="27">
        <f t="shared" ca="1" si="2"/>
        <v>-0.10984196019223166</v>
      </c>
      <c r="P36" s="27"/>
      <c r="Q36" s="28">
        <f t="shared" si="3"/>
        <v>6403.9399999999987</v>
      </c>
      <c r="U36" s="27"/>
    </row>
    <row r="37" spans="1:21" x14ac:dyDescent="0.2">
      <c r="A37" s="48" t="s">
        <v>76</v>
      </c>
      <c r="B37" s="49" t="s">
        <v>47</v>
      </c>
      <c r="C37" s="48">
        <v>21460.38</v>
      </c>
      <c r="D37" s="48" t="s">
        <v>64</v>
      </c>
      <c r="E37" s="27">
        <f t="shared" si="0"/>
        <v>99.000503935442921</v>
      </c>
      <c r="F37" s="27">
        <f t="shared" si="1"/>
        <v>99</v>
      </c>
      <c r="G37" s="27">
        <f t="shared" si="4"/>
        <v>3.8330000024870969E-3</v>
      </c>
      <c r="H37" s="27">
        <f t="shared" si="5"/>
        <v>3.8330000024870969E-3</v>
      </c>
      <c r="I37" s="27"/>
      <c r="J37" s="27"/>
      <c r="K37" s="27"/>
      <c r="L37" s="27"/>
      <c r="M37" s="27"/>
      <c r="N37" s="27"/>
      <c r="O37" s="27">
        <f t="shared" ca="1" si="2"/>
        <v>-0.10968647111018599</v>
      </c>
      <c r="P37" s="27"/>
      <c r="Q37" s="28">
        <f t="shared" si="3"/>
        <v>6441.880000000001</v>
      </c>
      <c r="U37" s="27"/>
    </row>
    <row r="38" spans="1:21" x14ac:dyDescent="0.2">
      <c r="A38" s="48" t="s">
        <v>76</v>
      </c>
      <c r="B38" s="49" t="s">
        <v>47</v>
      </c>
      <c r="C38" s="48">
        <v>21483.21</v>
      </c>
      <c r="D38" s="48" t="s">
        <v>64</v>
      </c>
      <c r="E38" s="27">
        <f t="shared" si="0"/>
        <v>102.00202915200147</v>
      </c>
      <c r="F38" s="27">
        <f t="shared" si="1"/>
        <v>102</v>
      </c>
      <c r="G38" s="27">
        <f t="shared" si="4"/>
        <v>1.5434000000823289E-2</v>
      </c>
      <c r="H38" s="27">
        <f t="shared" si="5"/>
        <v>1.5434000000823289E-2</v>
      </c>
      <c r="I38" s="27"/>
      <c r="J38" s="27"/>
      <c r="K38" s="27"/>
      <c r="L38" s="27"/>
      <c r="M38" s="27"/>
      <c r="N38" s="27"/>
      <c r="O38" s="27">
        <f t="shared" ca="1" si="2"/>
        <v>-0.10959317766095858</v>
      </c>
      <c r="P38" s="27"/>
      <c r="Q38" s="28">
        <f t="shared" si="3"/>
        <v>6464.7099999999991</v>
      </c>
      <c r="U38" s="27"/>
    </row>
    <row r="39" spans="1:21" x14ac:dyDescent="0.2">
      <c r="A39" s="48" t="s">
        <v>76</v>
      </c>
      <c r="B39" s="49" t="s">
        <v>47</v>
      </c>
      <c r="C39" s="48">
        <v>21498.400000000001</v>
      </c>
      <c r="D39" s="48" t="s">
        <v>64</v>
      </c>
      <c r="E39" s="27">
        <f t="shared" si="0"/>
        <v>103.99910177747387</v>
      </c>
      <c r="F39" s="27">
        <f t="shared" si="1"/>
        <v>104</v>
      </c>
      <c r="G39" s="27">
        <f t="shared" si="4"/>
        <v>-6.8319999991217628E-3</v>
      </c>
      <c r="H39" s="27">
        <f t="shared" si="5"/>
        <v>-6.8319999991217628E-3</v>
      </c>
      <c r="I39" s="27"/>
      <c r="J39" s="27"/>
      <c r="K39" s="27"/>
      <c r="L39" s="27"/>
      <c r="M39" s="27"/>
      <c r="N39" s="27"/>
      <c r="O39" s="27">
        <f t="shared" ca="1" si="2"/>
        <v>-0.10953098202814031</v>
      </c>
      <c r="P39" s="27"/>
      <c r="Q39" s="28">
        <f t="shared" si="3"/>
        <v>6479.9000000000015</v>
      </c>
      <c r="U39" s="27"/>
    </row>
    <row r="40" spans="1:21" x14ac:dyDescent="0.2">
      <c r="A40" s="48" t="s">
        <v>76</v>
      </c>
      <c r="B40" s="49" t="s">
        <v>47</v>
      </c>
      <c r="C40" s="48">
        <v>21559.26</v>
      </c>
      <c r="D40" s="48" t="s">
        <v>64</v>
      </c>
      <c r="E40" s="27">
        <f t="shared" si="0"/>
        <v>112.00053956458554</v>
      </c>
      <c r="F40" s="27">
        <f t="shared" si="1"/>
        <v>112</v>
      </c>
      <c r="G40" s="27">
        <f t="shared" si="4"/>
        <v>4.1039999996428378E-3</v>
      </c>
      <c r="H40" s="27">
        <f t="shared" si="5"/>
        <v>4.1039999996428378E-3</v>
      </c>
      <c r="I40" s="27"/>
      <c r="J40" s="27"/>
      <c r="K40" s="27"/>
      <c r="L40" s="27"/>
      <c r="M40" s="27"/>
      <c r="N40" s="27"/>
      <c r="O40" s="27">
        <f t="shared" ca="1" si="2"/>
        <v>-0.10928219949686724</v>
      </c>
      <c r="P40" s="27"/>
      <c r="Q40" s="28">
        <f t="shared" si="3"/>
        <v>6540.7599999999984</v>
      </c>
    </row>
    <row r="41" spans="1:21" x14ac:dyDescent="0.2">
      <c r="A41" s="48" t="s">
        <v>76</v>
      </c>
      <c r="B41" s="49" t="s">
        <v>47</v>
      </c>
      <c r="C41" s="48">
        <v>21688.5</v>
      </c>
      <c r="D41" s="48" t="s">
        <v>64</v>
      </c>
      <c r="E41" s="27">
        <f t="shared" si="0"/>
        <v>128.99209098762819</v>
      </c>
      <c r="F41" s="27">
        <f t="shared" si="1"/>
        <v>129</v>
      </c>
      <c r="G41" s="27">
        <f t="shared" si="4"/>
        <v>-6.0156999999890104E-2</v>
      </c>
      <c r="H41" s="27">
        <f t="shared" si="5"/>
        <v>-6.0156999999890104E-2</v>
      </c>
      <c r="I41" s="27"/>
      <c r="J41" s="27"/>
      <c r="K41" s="27"/>
      <c r="L41" s="27"/>
      <c r="M41" s="27"/>
      <c r="N41" s="27"/>
      <c r="O41" s="27">
        <f t="shared" ca="1" si="2"/>
        <v>-0.10875353661791194</v>
      </c>
      <c r="P41" s="27"/>
      <c r="Q41" s="28">
        <f t="shared" si="3"/>
        <v>6670</v>
      </c>
    </row>
    <row r="42" spans="1:21" x14ac:dyDescent="0.2">
      <c r="A42" s="48" t="s">
        <v>76</v>
      </c>
      <c r="B42" s="49" t="s">
        <v>47</v>
      </c>
      <c r="C42" s="48">
        <v>21749.360000000001</v>
      </c>
      <c r="D42" s="48" t="s">
        <v>64</v>
      </c>
      <c r="E42" s="27">
        <f t="shared" si="0"/>
        <v>136.9935287747403</v>
      </c>
      <c r="F42" s="27">
        <f t="shared" si="1"/>
        <v>137</v>
      </c>
      <c r="G42" s="27">
        <f t="shared" si="4"/>
        <v>-4.9220999997487525E-2</v>
      </c>
      <c r="H42" s="27">
        <f t="shared" si="5"/>
        <v>-4.9220999997487525E-2</v>
      </c>
      <c r="I42" s="27"/>
      <c r="J42" s="27"/>
      <c r="K42" s="27"/>
      <c r="L42" s="27"/>
      <c r="M42" s="27"/>
      <c r="N42" s="27"/>
      <c r="O42" s="27">
        <f t="shared" ca="1" si="2"/>
        <v>-0.10850475408663886</v>
      </c>
      <c r="P42" s="27"/>
      <c r="Q42" s="28">
        <f t="shared" si="3"/>
        <v>6730.8600000000006</v>
      </c>
    </row>
    <row r="43" spans="1:21" x14ac:dyDescent="0.2">
      <c r="A43" s="48" t="s">
        <v>76</v>
      </c>
      <c r="B43" s="49" t="s">
        <v>47</v>
      </c>
      <c r="C43" s="48">
        <v>21787.5</v>
      </c>
      <c r="D43" s="48" t="s">
        <v>64</v>
      </c>
      <c r="E43" s="27">
        <f t="shared" si="0"/>
        <v>142.00790335903952</v>
      </c>
      <c r="F43" s="27">
        <f t="shared" si="1"/>
        <v>142</v>
      </c>
      <c r="G43" s="27">
        <f t="shared" si="4"/>
        <v>6.0113999999884982E-2</v>
      </c>
      <c r="H43" s="27">
        <f>+C43-(C$7+F43*C$8)</f>
        <v>6.0113999999884982E-2</v>
      </c>
      <c r="J43" s="27"/>
      <c r="K43" s="27"/>
      <c r="L43" s="27"/>
      <c r="M43" s="27"/>
      <c r="N43" s="27"/>
      <c r="O43" s="27">
        <f t="shared" ca="1" si="2"/>
        <v>-0.10834926500459319</v>
      </c>
      <c r="P43" s="27"/>
      <c r="Q43" s="28">
        <f t="shared" si="3"/>
        <v>6769</v>
      </c>
    </row>
    <row r="44" spans="1:21" x14ac:dyDescent="0.2">
      <c r="A44" s="48" t="s">
        <v>133</v>
      </c>
      <c r="B44" s="49" t="s">
        <v>47</v>
      </c>
      <c r="C44" s="48">
        <v>27636.478999999999</v>
      </c>
      <c r="D44" s="48" t="s">
        <v>64</v>
      </c>
      <c r="E44" s="27">
        <f t="shared" si="0"/>
        <v>910.98985516030302</v>
      </c>
      <c r="F44" s="27">
        <f t="shared" si="1"/>
        <v>911</v>
      </c>
      <c r="G44" s="27">
        <f t="shared" si="4"/>
        <v>-7.7162999998108717E-2</v>
      </c>
      <c r="I44" s="27">
        <f t="shared" ref="I44:I55" si="6">+C44-(C$7+F44*C$8)</f>
        <v>-7.7162999998108717E-2</v>
      </c>
      <c r="J44" s="27"/>
      <c r="K44" s="27"/>
      <c r="L44" s="27"/>
      <c r="M44" s="27"/>
      <c r="N44" s="27"/>
      <c r="O44" s="27">
        <f t="shared" ca="1" si="2"/>
        <v>-8.4435044185968325E-2</v>
      </c>
      <c r="P44" s="27"/>
      <c r="Q44" s="28">
        <f t="shared" si="3"/>
        <v>12617.978999999999</v>
      </c>
    </row>
    <row r="45" spans="1:21" x14ac:dyDescent="0.2">
      <c r="A45" s="48" t="s">
        <v>133</v>
      </c>
      <c r="B45" s="49" t="s">
        <v>47</v>
      </c>
      <c r="C45" s="48">
        <v>27659.407999999999</v>
      </c>
      <c r="D45" s="48" t="s">
        <v>64</v>
      </c>
      <c r="E45" s="27">
        <f t="shared" si="0"/>
        <v>914.00439618923315</v>
      </c>
      <c r="F45" s="27">
        <f t="shared" si="1"/>
        <v>914</v>
      </c>
      <c r="G45" s="27">
        <f t="shared" si="4"/>
        <v>3.3438000002206536E-2</v>
      </c>
      <c r="I45" s="27">
        <f t="shared" si="6"/>
        <v>3.3438000002206536E-2</v>
      </c>
      <c r="J45" s="27"/>
      <c r="K45" s="27"/>
      <c r="L45" s="27"/>
      <c r="M45" s="27"/>
      <c r="N45" s="27"/>
      <c r="O45" s="27">
        <f t="shared" ca="1" si="2"/>
        <v>-8.4341750736740925E-2</v>
      </c>
      <c r="P45" s="27"/>
      <c r="Q45" s="28">
        <f t="shared" si="3"/>
        <v>12640.907999999999</v>
      </c>
    </row>
    <row r="46" spans="1:21" x14ac:dyDescent="0.2">
      <c r="A46" s="48" t="s">
        <v>133</v>
      </c>
      <c r="B46" s="49" t="s">
        <v>47</v>
      </c>
      <c r="C46" s="48">
        <v>27697.397000000001</v>
      </c>
      <c r="D46" s="48" t="s">
        <v>64</v>
      </c>
      <c r="E46" s="27">
        <f t="shared" si="0"/>
        <v>918.99891837284497</v>
      </c>
      <c r="F46" s="27">
        <f t="shared" si="1"/>
        <v>919</v>
      </c>
      <c r="G46" s="27">
        <f t="shared" si="4"/>
        <v>-8.2269999984418973E-3</v>
      </c>
      <c r="I46" s="27">
        <f t="shared" si="6"/>
        <v>-8.2269999984418973E-3</v>
      </c>
      <c r="J46" s="27"/>
      <c r="K46" s="27"/>
      <c r="L46" s="27"/>
      <c r="M46" s="27"/>
      <c r="N46" s="27"/>
      <c r="O46" s="27">
        <f t="shared" ca="1" si="2"/>
        <v>-8.4186261654695255E-2</v>
      </c>
      <c r="P46" s="27"/>
      <c r="Q46" s="28">
        <f t="shared" si="3"/>
        <v>12678.897000000001</v>
      </c>
    </row>
    <row r="47" spans="1:21" x14ac:dyDescent="0.2">
      <c r="A47" s="48" t="s">
        <v>133</v>
      </c>
      <c r="B47" s="49" t="s">
        <v>47</v>
      </c>
      <c r="C47" s="48">
        <v>27925.594000000001</v>
      </c>
      <c r="D47" s="48" t="s">
        <v>64</v>
      </c>
      <c r="E47" s="27">
        <f t="shared" si="0"/>
        <v>949.0006288346525</v>
      </c>
      <c r="F47" s="27">
        <f t="shared" si="1"/>
        <v>949</v>
      </c>
      <c r="G47" s="27">
        <f t="shared" si="4"/>
        <v>4.7830000003159512E-3</v>
      </c>
      <c r="I47" s="27">
        <f t="shared" si="6"/>
        <v>4.7830000003159512E-3</v>
      </c>
      <c r="J47" s="27"/>
      <c r="K47" s="27"/>
      <c r="L47" s="27"/>
      <c r="M47" s="27"/>
      <c r="N47" s="27"/>
      <c r="O47" s="27">
        <f t="shared" ca="1" si="2"/>
        <v>-8.3253327162421203E-2</v>
      </c>
      <c r="P47" s="27"/>
      <c r="Q47" s="28">
        <f t="shared" si="3"/>
        <v>12907.094000000001</v>
      </c>
    </row>
    <row r="48" spans="1:21" x14ac:dyDescent="0.2">
      <c r="A48" s="48" t="s">
        <v>133</v>
      </c>
      <c r="B48" s="49" t="s">
        <v>47</v>
      </c>
      <c r="C48" s="48">
        <v>27948.366999999998</v>
      </c>
      <c r="D48" s="48" t="s">
        <v>64</v>
      </c>
      <c r="E48" s="27">
        <f t="shared" si="0"/>
        <v>951.99466009863352</v>
      </c>
      <c r="F48" s="27">
        <f t="shared" si="1"/>
        <v>952</v>
      </c>
      <c r="G48" s="27">
        <f t="shared" si="4"/>
        <v>-4.061599999840837E-2</v>
      </c>
      <c r="I48" s="27">
        <f t="shared" si="6"/>
        <v>-4.061599999840837E-2</v>
      </c>
      <c r="J48" s="27"/>
      <c r="K48" s="27"/>
      <c r="L48" s="27"/>
      <c r="M48" s="27"/>
      <c r="N48" s="27"/>
      <c r="O48" s="27">
        <f t="shared" ca="1" si="2"/>
        <v>-8.316003371319379E-2</v>
      </c>
      <c r="P48" s="27"/>
      <c r="Q48" s="28">
        <f t="shared" si="3"/>
        <v>12929.866999999998</v>
      </c>
    </row>
    <row r="49" spans="1:32" x14ac:dyDescent="0.2">
      <c r="A49" s="48" t="s">
        <v>133</v>
      </c>
      <c r="B49" s="49" t="s">
        <v>47</v>
      </c>
      <c r="C49" s="48">
        <v>28062.478999999999</v>
      </c>
      <c r="D49" s="48" t="s">
        <v>64</v>
      </c>
      <c r="E49" s="27">
        <f t="shared" si="0"/>
        <v>966.99729021304267</v>
      </c>
      <c r="F49" s="27">
        <f t="shared" si="1"/>
        <v>967</v>
      </c>
      <c r="G49" s="27">
        <f t="shared" si="4"/>
        <v>-2.0610999999917112E-2</v>
      </c>
      <c r="I49" s="27">
        <f t="shared" si="6"/>
        <v>-2.0610999999917112E-2</v>
      </c>
      <c r="J49" s="27"/>
      <c r="K49" s="27"/>
      <c r="L49" s="27"/>
      <c r="M49" s="27"/>
      <c r="N49" s="27"/>
      <c r="O49" s="27">
        <f t="shared" ca="1" si="2"/>
        <v>-8.2693566467056764E-2</v>
      </c>
      <c r="P49" s="27"/>
      <c r="Q49" s="28">
        <f t="shared" si="3"/>
        <v>13043.978999999999</v>
      </c>
    </row>
    <row r="50" spans="1:32" x14ac:dyDescent="0.2">
      <c r="A50" s="48" t="s">
        <v>133</v>
      </c>
      <c r="B50" s="49" t="s">
        <v>47</v>
      </c>
      <c r="C50" s="48">
        <v>28108.103999999999</v>
      </c>
      <c r="D50" s="48" t="s">
        <v>64</v>
      </c>
      <c r="E50" s="27">
        <f t="shared" si="0"/>
        <v>972.99573909633193</v>
      </c>
      <c r="F50" s="27">
        <f t="shared" si="1"/>
        <v>973</v>
      </c>
      <c r="G50" s="27">
        <f t="shared" si="4"/>
        <v>-3.240899999946123E-2</v>
      </c>
      <c r="I50" s="27">
        <f t="shared" si="6"/>
        <v>-3.240899999946123E-2</v>
      </c>
      <c r="J50" s="27"/>
      <c r="K50" s="27"/>
      <c r="L50" s="27"/>
      <c r="M50" s="27"/>
      <c r="N50" s="27"/>
      <c r="O50" s="27">
        <f t="shared" ca="1" si="2"/>
        <v>-8.2506979568601951E-2</v>
      </c>
      <c r="P50" s="27"/>
      <c r="Q50" s="28">
        <f t="shared" si="3"/>
        <v>13089.603999999999</v>
      </c>
    </row>
    <row r="51" spans="1:32" x14ac:dyDescent="0.2">
      <c r="A51" s="48" t="s">
        <v>155</v>
      </c>
      <c r="B51" s="49" t="s">
        <v>47</v>
      </c>
      <c r="C51" s="48">
        <v>29971.61</v>
      </c>
      <c r="D51" s="48" t="s">
        <v>64</v>
      </c>
      <c r="E51" s="27">
        <f t="shared" si="0"/>
        <v>1217.9961880761225</v>
      </c>
      <c r="F51" s="27">
        <f t="shared" si="1"/>
        <v>1218</v>
      </c>
      <c r="G51" s="27">
        <f t="shared" si="4"/>
        <v>-2.8994000000238884E-2</v>
      </c>
      <c r="I51" s="27">
        <f t="shared" si="6"/>
        <v>-2.8994000000238884E-2</v>
      </c>
      <c r="J51" s="27"/>
      <c r="K51" s="27"/>
      <c r="L51" s="27"/>
      <c r="M51" s="27"/>
      <c r="N51" s="27"/>
      <c r="O51" s="27">
        <f t="shared" ca="1" si="2"/>
        <v>-7.4888014548363871E-2</v>
      </c>
      <c r="P51" s="27"/>
      <c r="Q51" s="28">
        <f t="shared" si="3"/>
        <v>14953.11</v>
      </c>
    </row>
    <row r="52" spans="1:32" x14ac:dyDescent="0.2">
      <c r="A52" s="48" t="s">
        <v>162</v>
      </c>
      <c r="B52" s="49" t="s">
        <v>47</v>
      </c>
      <c r="C52" s="48">
        <v>40741.927000000003</v>
      </c>
      <c r="D52" s="48" t="s">
        <v>64</v>
      </c>
      <c r="E52" s="27">
        <f t="shared" si="0"/>
        <v>2634.0004835571513</v>
      </c>
      <c r="F52" s="27">
        <f t="shared" si="1"/>
        <v>2634</v>
      </c>
      <c r="G52" s="27">
        <f t="shared" si="4"/>
        <v>3.6780000009457581E-3</v>
      </c>
      <c r="H52" s="27"/>
      <c r="I52" s="27">
        <f t="shared" si="6"/>
        <v>3.6780000009457581E-3</v>
      </c>
      <c r="J52" s="27"/>
      <c r="K52" s="27"/>
      <c r="L52" s="27"/>
      <c r="M52" s="27"/>
      <c r="N52" s="27"/>
      <c r="O52" s="27">
        <f t="shared" ca="1" si="2"/>
        <v>-3.0853506513028636E-2</v>
      </c>
      <c r="P52" s="27"/>
      <c r="Q52" s="28">
        <f t="shared" si="3"/>
        <v>25723.427000000003</v>
      </c>
      <c r="U52" s="27"/>
    </row>
    <row r="53" spans="1:32" x14ac:dyDescent="0.2">
      <c r="A53" s="48" t="s">
        <v>162</v>
      </c>
      <c r="B53" s="49" t="s">
        <v>47</v>
      </c>
      <c r="C53" s="48">
        <v>42506.563999999998</v>
      </c>
      <c r="D53" s="48" t="s">
        <v>64</v>
      </c>
      <c r="E53" s="27">
        <f t="shared" ref="E53:E69" si="7">+(C53-C$7)/C$8</f>
        <v>2866.0023431091727</v>
      </c>
      <c r="F53" s="27">
        <f t="shared" ref="F53:F73" si="8">ROUND(2*E53,0)/2</f>
        <v>2866</v>
      </c>
      <c r="G53" s="27">
        <f t="shared" si="4"/>
        <v>1.7822000001615379E-2</v>
      </c>
      <c r="H53" s="27"/>
      <c r="I53" s="27">
        <f t="shared" si="6"/>
        <v>1.7822000001615379E-2</v>
      </c>
      <c r="J53" s="27"/>
      <c r="K53" s="27"/>
      <c r="L53" s="27"/>
      <c r="M53" s="27"/>
      <c r="N53" s="27"/>
      <c r="O53" s="27">
        <f t="shared" ref="O53:O69" ca="1" si="9">+C$11+C$12*F53</f>
        <v>-2.363881310610931E-2</v>
      </c>
      <c r="P53" s="27"/>
      <c r="Q53" s="28">
        <f t="shared" ref="Q53:Q69" si="10">+C53-15018.5</f>
        <v>27488.063999999998</v>
      </c>
      <c r="U53" s="27"/>
      <c r="AA53" t="s">
        <v>29</v>
      </c>
      <c r="AF53" t="s">
        <v>31</v>
      </c>
    </row>
    <row r="54" spans="1:32" x14ac:dyDescent="0.2">
      <c r="A54" s="48" t="s">
        <v>162</v>
      </c>
      <c r="B54" s="49" t="s">
        <v>47</v>
      </c>
      <c r="C54" s="48">
        <v>42947.71</v>
      </c>
      <c r="D54" s="48" t="s">
        <v>64</v>
      </c>
      <c r="E54" s="27">
        <f t="shared" si="7"/>
        <v>2924.0010659818859</v>
      </c>
      <c r="F54" s="27">
        <f t="shared" si="8"/>
        <v>2924</v>
      </c>
      <c r="G54" s="27">
        <f t="shared" si="4"/>
        <v>8.1080000018118881E-3</v>
      </c>
      <c r="H54" s="27"/>
      <c r="I54" s="27">
        <f t="shared" si="6"/>
        <v>8.1080000018118881E-3</v>
      </c>
      <c r="J54" s="27"/>
      <c r="K54" s="27"/>
      <c r="L54" s="27"/>
      <c r="M54" s="27"/>
      <c r="N54" s="27"/>
      <c r="O54" s="27">
        <f t="shared" ca="1" si="9"/>
        <v>-2.1835139754379479E-2</v>
      </c>
      <c r="P54" s="27"/>
      <c r="Q54" s="28">
        <f t="shared" si="10"/>
        <v>27929.21</v>
      </c>
      <c r="U54" s="27"/>
      <c r="AA54" t="s">
        <v>29</v>
      </c>
      <c r="AF54" t="s">
        <v>31</v>
      </c>
    </row>
    <row r="55" spans="1:32" x14ac:dyDescent="0.2">
      <c r="A55" s="48" t="s">
        <v>162</v>
      </c>
      <c r="B55" s="49" t="s">
        <v>47</v>
      </c>
      <c r="C55" s="48">
        <v>43274.769</v>
      </c>
      <c r="D55" s="48" t="s">
        <v>64</v>
      </c>
      <c r="E55" s="27">
        <f t="shared" si="7"/>
        <v>2967.0004455614967</v>
      </c>
      <c r="F55" s="27">
        <f t="shared" si="8"/>
        <v>2967</v>
      </c>
      <c r="G55" s="27">
        <f t="shared" si="4"/>
        <v>3.3890000049723312E-3</v>
      </c>
      <c r="H55" s="27"/>
      <c r="I55" s="27">
        <f t="shared" si="6"/>
        <v>3.3890000049723312E-3</v>
      </c>
      <c r="J55" s="27"/>
      <c r="K55" s="27"/>
      <c r="L55" s="27"/>
      <c r="M55" s="27"/>
      <c r="N55" s="27"/>
      <c r="O55" s="27">
        <f t="shared" ca="1" si="9"/>
        <v>-2.0497933648786673E-2</v>
      </c>
      <c r="P55" s="27"/>
      <c r="Q55" s="28">
        <f t="shared" si="10"/>
        <v>28256.269</v>
      </c>
      <c r="U55" s="27"/>
      <c r="AA55" t="s">
        <v>32</v>
      </c>
      <c r="AB55">
        <v>40</v>
      </c>
      <c r="AD55" t="s">
        <v>33</v>
      </c>
      <c r="AF55" t="s">
        <v>35</v>
      </c>
    </row>
    <row r="56" spans="1:32" x14ac:dyDescent="0.2">
      <c r="A56" s="48" t="s">
        <v>175</v>
      </c>
      <c r="B56" s="49" t="s">
        <v>47</v>
      </c>
      <c r="C56" s="48">
        <v>44332.033499999998</v>
      </c>
      <c r="D56" s="48" t="s">
        <v>64</v>
      </c>
      <c r="E56" s="27">
        <f t="shared" si="7"/>
        <v>3106.0020249448703</v>
      </c>
      <c r="F56" s="27">
        <f t="shared" si="8"/>
        <v>3106</v>
      </c>
      <c r="G56" s="27">
        <f t="shared" si="4"/>
        <v>1.5401999997266103E-2</v>
      </c>
      <c r="H56" s="27"/>
      <c r="I56" s="27"/>
      <c r="J56" s="27">
        <f>+C56-(C$7+F56*C$8)</f>
        <v>1.5401999997266103E-2</v>
      </c>
      <c r="K56" s="27"/>
      <c r="L56" s="27"/>
      <c r="M56" s="27"/>
      <c r="N56" s="27"/>
      <c r="O56" s="27">
        <f t="shared" ca="1" si="9"/>
        <v>-1.6175337167916901E-2</v>
      </c>
      <c r="P56" s="27"/>
      <c r="Q56" s="28">
        <f t="shared" si="10"/>
        <v>29313.533499999998</v>
      </c>
      <c r="U56" s="27"/>
    </row>
    <row r="57" spans="1:32" x14ac:dyDescent="0.2">
      <c r="A57" s="48" t="s">
        <v>180</v>
      </c>
      <c r="B57" s="49" t="s">
        <v>47</v>
      </c>
      <c r="C57" s="48">
        <v>45077.39</v>
      </c>
      <c r="D57" s="48" t="s">
        <v>64</v>
      </c>
      <c r="E57" s="27">
        <f t="shared" si="7"/>
        <v>3203.9961699328687</v>
      </c>
      <c r="F57" s="27">
        <f t="shared" si="8"/>
        <v>3204</v>
      </c>
      <c r="G57" s="27">
        <f t="shared" si="4"/>
        <v>-2.9131999996025115E-2</v>
      </c>
      <c r="I57" s="27">
        <f>+C57-(C$7+F57*C$8)</f>
        <v>-2.9131999996025115E-2</v>
      </c>
      <c r="J57" s="27"/>
      <c r="K57" s="27"/>
      <c r="L57" s="27"/>
      <c r="M57" s="27"/>
      <c r="N57" s="27"/>
      <c r="O57" s="27">
        <f t="shared" ca="1" si="9"/>
        <v>-1.3127751159821663E-2</v>
      </c>
      <c r="P57" s="27"/>
      <c r="Q57" s="28">
        <f t="shared" si="10"/>
        <v>30058.89</v>
      </c>
    </row>
    <row r="58" spans="1:32" x14ac:dyDescent="0.2">
      <c r="A58" s="27" t="s">
        <v>30</v>
      </c>
      <c r="B58" s="27"/>
      <c r="C58" s="29">
        <v>45191.48</v>
      </c>
      <c r="D58" s="29"/>
      <c r="E58" s="27">
        <f t="shared" si="7"/>
        <v>3218.9959076445289</v>
      </c>
      <c r="F58" s="27">
        <f t="shared" si="8"/>
        <v>3219</v>
      </c>
      <c r="G58" s="27">
        <f t="shared" si="4"/>
        <v>-3.112699999473989E-2</v>
      </c>
      <c r="I58" s="27">
        <f>+C58-(C$7+F58*C$8)</f>
        <v>-3.112699999473989E-2</v>
      </c>
      <c r="J58" s="27"/>
      <c r="K58" s="27"/>
      <c r="L58" s="27"/>
      <c r="M58" s="27"/>
      <c r="N58" s="27"/>
      <c r="O58" s="27">
        <f t="shared" ca="1" si="9"/>
        <v>-1.2661283913684637E-2</v>
      </c>
      <c r="P58" s="27"/>
      <c r="Q58" s="28">
        <f t="shared" si="10"/>
        <v>30172.980000000003</v>
      </c>
      <c r="R58" s="27"/>
      <c r="S58" s="27"/>
      <c r="T58" s="27"/>
    </row>
    <row r="59" spans="1:32" x14ac:dyDescent="0.2">
      <c r="A59" s="27" t="s">
        <v>30</v>
      </c>
      <c r="B59" s="27"/>
      <c r="C59" s="29">
        <v>45442.57</v>
      </c>
      <c r="D59" s="29"/>
      <c r="E59" s="27">
        <f t="shared" si="7"/>
        <v>3252.007426112586</v>
      </c>
      <c r="F59" s="27">
        <f t="shared" si="8"/>
        <v>3252</v>
      </c>
      <c r="G59" s="27">
        <f t="shared" si="4"/>
        <v>5.6484000000637025E-2</v>
      </c>
      <c r="I59" s="27">
        <f>+C59-(C$7+F59*C$8)</f>
        <v>5.6484000000637025E-2</v>
      </c>
      <c r="J59" s="27"/>
      <c r="K59" s="27"/>
      <c r="L59" s="27"/>
      <c r="M59" s="27"/>
      <c r="N59" s="27"/>
      <c r="O59" s="27">
        <f t="shared" ca="1" si="9"/>
        <v>-1.1635055972183173E-2</v>
      </c>
      <c r="P59" s="27"/>
      <c r="Q59" s="28">
        <f t="shared" si="10"/>
        <v>30424.07</v>
      </c>
      <c r="R59" s="27"/>
      <c r="S59" s="27"/>
      <c r="T59" s="27"/>
    </row>
    <row r="60" spans="1:32" x14ac:dyDescent="0.2">
      <c r="A60" s="27" t="s">
        <v>34</v>
      </c>
      <c r="B60" s="27"/>
      <c r="C60" s="29">
        <v>50234.400000000001</v>
      </c>
      <c r="D60" s="29">
        <v>0.01</v>
      </c>
      <c r="E60" s="27">
        <f t="shared" si="7"/>
        <v>3882.0029836449089</v>
      </c>
      <c r="F60" s="27">
        <f t="shared" si="8"/>
        <v>3882</v>
      </c>
      <c r="G60" s="27">
        <f t="shared" si="4"/>
        <v>2.2694000006595161E-2</v>
      </c>
      <c r="I60" s="27">
        <f>+C60-(C$7+F60*C$8)</f>
        <v>2.2694000006595161E-2</v>
      </c>
      <c r="J60" s="27"/>
      <c r="K60" s="27"/>
      <c r="L60" s="27"/>
      <c r="M60" s="27"/>
      <c r="N60" s="27"/>
      <c r="O60" s="27">
        <f t="shared" ca="1" si="9"/>
        <v>7.9565683655719033E-3</v>
      </c>
      <c r="P60" s="27"/>
      <c r="Q60" s="28">
        <f t="shared" si="10"/>
        <v>35215.9</v>
      </c>
      <c r="R60" s="27"/>
      <c r="S60" s="27"/>
      <c r="T60" s="27"/>
    </row>
    <row r="61" spans="1:32" x14ac:dyDescent="0.2">
      <c r="A61" s="27" t="s">
        <v>28</v>
      </c>
      <c r="B61" s="27"/>
      <c r="C61" s="29">
        <v>52744.427199999998</v>
      </c>
      <c r="D61" s="29">
        <v>1.5E-3</v>
      </c>
      <c r="E61" s="27">
        <f t="shared" si="7"/>
        <v>4212.0034188200498</v>
      </c>
      <c r="F61" s="27">
        <f t="shared" si="8"/>
        <v>4212</v>
      </c>
      <c r="G61" s="27">
        <f t="shared" si="4"/>
        <v>2.6003999999375083E-2</v>
      </c>
      <c r="H61" s="27"/>
      <c r="I61" s="27"/>
      <c r="J61" s="27">
        <f>G61</f>
        <v>2.6003999999375083E-2</v>
      </c>
      <c r="K61" s="27"/>
      <c r="L61" s="27"/>
      <c r="M61" s="27"/>
      <c r="N61" s="27"/>
      <c r="O61" s="27">
        <f t="shared" ca="1" si="9"/>
        <v>1.8218847780586467E-2</v>
      </c>
      <c r="P61" s="27"/>
      <c r="Q61" s="28">
        <f t="shared" si="10"/>
        <v>37725.927199999998</v>
      </c>
      <c r="R61" s="27"/>
      <c r="S61" s="27"/>
      <c r="T61" s="27"/>
    </row>
    <row r="62" spans="1:32" x14ac:dyDescent="0.2">
      <c r="A62" s="30" t="s">
        <v>39</v>
      </c>
      <c r="B62" s="31"/>
      <c r="C62" s="32">
        <v>53862.533000000003</v>
      </c>
      <c r="D62" s="32">
        <v>1.1999999999999999E-3</v>
      </c>
      <c r="E62" s="27">
        <f t="shared" si="7"/>
        <v>4359.0039774481993</v>
      </c>
      <c r="F62" s="27">
        <f t="shared" si="8"/>
        <v>4359</v>
      </c>
      <c r="G62" s="27">
        <f t="shared" si="4"/>
        <v>3.0253000004449859E-2</v>
      </c>
      <c r="H62" s="27"/>
      <c r="I62" s="27"/>
      <c r="J62" s="27">
        <f>G62</f>
        <v>3.0253000004449859E-2</v>
      </c>
      <c r="K62" s="27"/>
      <c r="L62" s="27"/>
      <c r="M62" s="27"/>
      <c r="N62" s="27"/>
      <c r="O62" s="27">
        <f t="shared" ca="1" si="9"/>
        <v>2.2790226792729323E-2</v>
      </c>
      <c r="P62" s="27"/>
      <c r="Q62" s="28">
        <f t="shared" si="10"/>
        <v>38844.033000000003</v>
      </c>
      <c r="R62" s="27"/>
      <c r="S62" s="27"/>
      <c r="T62" s="27"/>
    </row>
    <row r="63" spans="1:32" x14ac:dyDescent="0.2">
      <c r="A63" s="30" t="s">
        <v>51</v>
      </c>
      <c r="B63" s="33" t="s">
        <v>47</v>
      </c>
      <c r="C63" s="32">
        <v>54212.414700000001</v>
      </c>
      <c r="D63" s="32">
        <v>2.9999999999999997E-4</v>
      </c>
      <c r="E63" s="27">
        <f t="shared" si="7"/>
        <v>4405.0039224925467</v>
      </c>
      <c r="F63" s="27">
        <f t="shared" si="8"/>
        <v>4405</v>
      </c>
      <c r="G63" s="27">
        <f t="shared" si="4"/>
        <v>2.9835000001185108E-2</v>
      </c>
      <c r="H63" s="27"/>
      <c r="I63" s="27"/>
      <c r="K63" s="27">
        <f>+C63-(C$7+F63*C$8)</f>
        <v>2.9835000001185108E-2</v>
      </c>
      <c r="L63" s="27"/>
      <c r="M63" s="27"/>
      <c r="N63" s="27"/>
      <c r="O63" s="27">
        <f t="shared" ca="1" si="9"/>
        <v>2.4220726347549543E-2</v>
      </c>
      <c r="P63" s="27"/>
      <c r="Q63" s="28">
        <f t="shared" si="10"/>
        <v>39193.914700000001</v>
      </c>
      <c r="R63" s="27"/>
      <c r="S63" s="27"/>
      <c r="T63" s="27"/>
    </row>
    <row r="64" spans="1:32" x14ac:dyDescent="0.2">
      <c r="A64" s="50" t="s">
        <v>51</v>
      </c>
      <c r="B64" s="51" t="s">
        <v>47</v>
      </c>
      <c r="C64" s="52">
        <v>54592.684500000003</v>
      </c>
      <c r="D64" s="52">
        <v>6.9999999999999999E-4</v>
      </c>
      <c r="E64" s="27">
        <f t="shared" si="7"/>
        <v>4454.9990777179419</v>
      </c>
      <c r="F64" s="27">
        <f t="shared" si="8"/>
        <v>4455</v>
      </c>
      <c r="G64" s="27">
        <f t="shared" si="4"/>
        <v>-7.0149999955901876E-3</v>
      </c>
      <c r="H64" s="27"/>
      <c r="I64" s="27"/>
      <c r="K64" s="27">
        <f>+C64-(C$7+F64*C$8)</f>
        <v>-7.0149999955901876E-3</v>
      </c>
      <c r="L64" s="27"/>
      <c r="M64" s="27"/>
      <c r="N64" s="27"/>
      <c r="O64" s="27">
        <f t="shared" ca="1" si="9"/>
        <v>2.5775617168006276E-2</v>
      </c>
      <c r="P64" s="27"/>
      <c r="Q64" s="28">
        <f t="shared" si="10"/>
        <v>39574.184500000003</v>
      </c>
      <c r="R64" s="27"/>
      <c r="S64" s="27"/>
      <c r="T64" s="27"/>
    </row>
    <row r="65" spans="1:20" x14ac:dyDescent="0.2">
      <c r="A65" s="52" t="s">
        <v>46</v>
      </c>
      <c r="B65" s="51" t="s">
        <v>47</v>
      </c>
      <c r="C65" s="52">
        <v>54596.517599999999</v>
      </c>
      <c r="D65" s="52">
        <v>2E-3</v>
      </c>
      <c r="E65" s="27">
        <f t="shared" si="7"/>
        <v>4455.5030263078497</v>
      </c>
      <c r="F65" s="27">
        <f t="shared" si="8"/>
        <v>4455.5</v>
      </c>
      <c r="G65" s="27">
        <f t="shared" si="4"/>
        <v>2.3018500003672671E-2</v>
      </c>
      <c r="H65" s="27"/>
      <c r="I65" s="27"/>
      <c r="J65" s="27">
        <f>G65</f>
        <v>2.3018500003672671E-2</v>
      </c>
      <c r="K65" s="27"/>
      <c r="L65" s="27"/>
      <c r="M65" s="27"/>
      <c r="N65" s="27"/>
      <c r="O65" s="27">
        <f t="shared" ca="1" si="9"/>
        <v>2.5791166076210847E-2</v>
      </c>
      <c r="P65" s="27"/>
      <c r="Q65" s="28">
        <f t="shared" si="10"/>
        <v>39578.017599999999</v>
      </c>
      <c r="R65" s="27"/>
      <c r="S65" s="27"/>
      <c r="T65" s="27"/>
    </row>
    <row r="66" spans="1:20" x14ac:dyDescent="0.2">
      <c r="A66" s="50" t="s">
        <v>50</v>
      </c>
      <c r="B66" s="51" t="s">
        <v>47</v>
      </c>
      <c r="C66" s="52">
        <v>55345.730199999998</v>
      </c>
      <c r="D66" s="52">
        <v>8.9999999999999998E-4</v>
      </c>
      <c r="E66" s="27">
        <f t="shared" si="7"/>
        <v>4554.0041437613572</v>
      </c>
      <c r="F66" s="27">
        <f t="shared" si="8"/>
        <v>4554</v>
      </c>
      <c r="G66" s="27">
        <f t="shared" si="4"/>
        <v>3.1518000003416091E-2</v>
      </c>
      <c r="H66" s="27"/>
      <c r="I66" s="27"/>
      <c r="K66" s="27">
        <f>+C66-(C$7+F66*C$8)</f>
        <v>3.1518000003416091E-2</v>
      </c>
      <c r="L66" s="27"/>
      <c r="M66" s="27"/>
      <c r="N66" s="27"/>
      <c r="O66" s="27">
        <f t="shared" ca="1" si="9"/>
        <v>2.8854300992510656E-2</v>
      </c>
      <c r="P66" s="27"/>
      <c r="Q66" s="28">
        <f t="shared" si="10"/>
        <v>40327.230199999998</v>
      </c>
      <c r="R66" s="27"/>
      <c r="S66" s="27"/>
      <c r="T66" s="27"/>
    </row>
    <row r="67" spans="1:20" x14ac:dyDescent="0.2">
      <c r="A67" s="30" t="s">
        <v>53</v>
      </c>
      <c r="B67" s="33" t="s">
        <v>47</v>
      </c>
      <c r="C67" s="32">
        <v>56007.471899999997</v>
      </c>
      <c r="D67" s="32">
        <v>2.3900000000000001E-2</v>
      </c>
      <c r="E67" s="54">
        <f t="shared" si="7"/>
        <v>4641.0052125041721</v>
      </c>
      <c r="F67" s="27">
        <f t="shared" si="8"/>
        <v>4641</v>
      </c>
      <c r="G67" s="27">
        <f t="shared" si="4"/>
        <v>3.9646999997785315E-2</v>
      </c>
      <c r="H67" s="27"/>
      <c r="I67" s="27"/>
      <c r="J67" s="27">
        <f>G67</f>
        <v>3.9646999997785315E-2</v>
      </c>
      <c r="K67" s="27"/>
      <c r="L67" s="27"/>
      <c r="M67" s="27"/>
      <c r="N67" s="27"/>
      <c r="O67" s="27">
        <f t="shared" ca="1" si="9"/>
        <v>3.1559811020105411E-2</v>
      </c>
      <c r="P67" s="27"/>
      <c r="Q67" s="28">
        <f t="shared" si="10"/>
        <v>40988.971899999997</v>
      </c>
      <c r="R67" s="27"/>
      <c r="S67" s="27"/>
      <c r="T67" s="27"/>
    </row>
    <row r="68" spans="1:20" x14ac:dyDescent="0.2">
      <c r="A68" s="32" t="s">
        <v>235</v>
      </c>
      <c r="B68" s="33"/>
      <c r="C68" s="32">
        <v>57106.529600000002</v>
      </c>
      <c r="D68" s="32">
        <v>1.9300000000000001E-2</v>
      </c>
      <c r="E68" s="54">
        <f t="shared" si="7"/>
        <v>4785.5014630956366</v>
      </c>
      <c r="F68" s="27">
        <f t="shared" si="8"/>
        <v>4785.5</v>
      </c>
      <c r="G68" s="27">
        <f t="shared" si="4"/>
        <v>1.1128500002087094E-2</v>
      </c>
      <c r="H68" s="27"/>
      <c r="I68" s="27"/>
      <c r="J68" s="27">
        <f>G68</f>
        <v>1.1128500002087094E-2</v>
      </c>
      <c r="K68" s="27"/>
      <c r="L68" s="27"/>
      <c r="M68" s="27"/>
      <c r="N68" s="27"/>
      <c r="O68" s="27">
        <f t="shared" ca="1" si="9"/>
        <v>3.6053445491225411E-2</v>
      </c>
      <c r="P68" s="27"/>
      <c r="Q68" s="28">
        <f t="shared" si="10"/>
        <v>42088.029600000002</v>
      </c>
      <c r="R68" s="27"/>
    </row>
    <row r="69" spans="1:20" x14ac:dyDescent="0.2">
      <c r="A69" s="55" t="s">
        <v>236</v>
      </c>
      <c r="B69" s="56" t="s">
        <v>47</v>
      </c>
      <c r="C69" s="57">
        <v>57878.582900000001</v>
      </c>
      <c r="D69" s="57">
        <v>2.0000000000000001E-4</v>
      </c>
      <c r="E69" s="54">
        <f t="shared" si="7"/>
        <v>4887.005512525222</v>
      </c>
      <c r="F69" s="27">
        <f t="shared" si="8"/>
        <v>4887</v>
      </c>
      <c r="G69" s="27">
        <f t="shared" si="4"/>
        <v>4.192900000634836E-2</v>
      </c>
      <c r="H69" s="27"/>
      <c r="I69" s="27"/>
      <c r="K69" s="27">
        <f>+C69-(C$7+F69*C$8)</f>
        <v>4.192900000634836E-2</v>
      </c>
      <c r="L69" s="27"/>
      <c r="M69" s="27"/>
      <c r="N69" s="27"/>
      <c r="O69" s="27">
        <f t="shared" ca="1" si="9"/>
        <v>3.9209873856752619E-2</v>
      </c>
      <c r="P69" s="27"/>
      <c r="Q69" s="28">
        <f t="shared" si="10"/>
        <v>42860.082900000001</v>
      </c>
    </row>
    <row r="70" spans="1:20" x14ac:dyDescent="0.2">
      <c r="A70" s="59" t="s">
        <v>0</v>
      </c>
      <c r="B70" s="58" t="s">
        <v>47</v>
      </c>
      <c r="C70" s="53">
        <v>56889.792000000001</v>
      </c>
      <c r="D70" s="53">
        <v>0.01</v>
      </c>
      <c r="E70" s="27">
        <f>+(C70-C$7)/C$8</f>
        <v>4757.0063526367476</v>
      </c>
      <c r="F70" s="27">
        <f t="shared" si="8"/>
        <v>4757</v>
      </c>
      <c r="G70" s="27">
        <f>+C70-(C$7+F70*C$8)</f>
        <v>4.8319000001356471E-2</v>
      </c>
      <c r="I70" s="27">
        <f>+C70-(C$7+F70*C$8)</f>
        <v>4.8319000001356471E-2</v>
      </c>
      <c r="J70" s="27"/>
      <c r="K70" s="27"/>
      <c r="L70" s="27"/>
      <c r="M70" s="27"/>
      <c r="N70" s="27"/>
      <c r="O70" s="27">
        <f ca="1">+C$11+C$12*F70</f>
        <v>3.5167157723565073E-2</v>
      </c>
      <c r="P70" s="27"/>
      <c r="Q70" s="28">
        <f>+C70-15018.5</f>
        <v>41871.292000000001</v>
      </c>
    </row>
    <row r="71" spans="1:20" x14ac:dyDescent="0.2">
      <c r="A71" s="59" t="s">
        <v>0</v>
      </c>
      <c r="B71" s="58" t="s">
        <v>47</v>
      </c>
      <c r="C71" s="53">
        <v>57095.158000000003</v>
      </c>
      <c r="D71" s="53">
        <v>0.01</v>
      </c>
      <c r="E71" s="27">
        <f>+(C71-C$7)/C$8</f>
        <v>4784.0064064091448</v>
      </c>
      <c r="F71" s="27">
        <f t="shared" si="8"/>
        <v>4784</v>
      </c>
      <c r="G71" s="27">
        <f>+C71-(C$7+F71*C$8)</f>
        <v>4.8728000008850358E-2</v>
      </c>
      <c r="I71" s="27">
        <f>+C71-(C$7+F71*C$8)</f>
        <v>4.8728000008850358E-2</v>
      </c>
      <c r="J71" s="27"/>
      <c r="K71" s="27"/>
      <c r="L71" s="27"/>
      <c r="M71" s="27"/>
      <c r="N71" s="27"/>
      <c r="O71" s="27">
        <f ca="1">+C$11+C$12*F71</f>
        <v>3.6006798766611725E-2</v>
      </c>
      <c r="P71" s="27"/>
      <c r="Q71" s="28">
        <f>+C71-15018.5</f>
        <v>42076.658000000003</v>
      </c>
    </row>
    <row r="72" spans="1:20" x14ac:dyDescent="0.2">
      <c r="A72" s="60" t="s">
        <v>237</v>
      </c>
      <c r="B72" s="61" t="s">
        <v>47</v>
      </c>
      <c r="C72" s="62">
        <v>58593.562299999998</v>
      </c>
      <c r="D72" s="62">
        <v>2.0000000000000001E-4</v>
      </c>
      <c r="E72" s="54">
        <f>+(C72-C$7)/C$8</f>
        <v>4981.0058935335474</v>
      </c>
      <c r="F72" s="27">
        <f t="shared" si="8"/>
        <v>4981</v>
      </c>
      <c r="G72" s="27">
        <f>+C72-(C$7+F72*C$8)</f>
        <v>4.4826999997894745E-2</v>
      </c>
      <c r="H72" s="27"/>
      <c r="I72" s="27"/>
      <c r="K72" s="27">
        <f>+C72-(C$7+F72*C$8)</f>
        <v>4.4826999997894745E-2</v>
      </c>
      <c r="L72" s="27"/>
      <c r="M72" s="27"/>
      <c r="N72" s="27"/>
      <c r="O72" s="27">
        <f ca="1">+C$11+C$12*F72</f>
        <v>4.2133068599211315E-2</v>
      </c>
      <c r="P72" s="27"/>
      <c r="Q72" s="28">
        <f>+C72-15018.5</f>
        <v>43575.062299999998</v>
      </c>
    </row>
    <row r="73" spans="1:20" x14ac:dyDescent="0.2">
      <c r="A73" s="63" t="s">
        <v>238</v>
      </c>
      <c r="B73" s="58" t="s">
        <v>47</v>
      </c>
      <c r="C73" s="53">
        <v>58973.865400000002</v>
      </c>
      <c r="D73" s="53">
        <v>1E-4</v>
      </c>
      <c r="E73" s="54">
        <f>+(C73-C$7)/C$8</f>
        <v>5031.0054268049225</v>
      </c>
      <c r="F73" s="27">
        <f t="shared" si="8"/>
        <v>5031</v>
      </c>
      <c r="G73" s="27">
        <f>+C73-(C$7+F73*C$8)</f>
        <v>4.1277000003901776E-2</v>
      </c>
      <c r="H73" s="27"/>
      <c r="I73" s="27"/>
      <c r="K73" s="27">
        <f>+C73-(C$7+F73*C$8)</f>
        <v>4.1277000003901776E-2</v>
      </c>
      <c r="L73" s="27"/>
      <c r="M73" s="27"/>
      <c r="N73" s="27"/>
      <c r="O73" s="27">
        <f ca="1">+C$11+C$12*F73</f>
        <v>4.3687959419668076E-2</v>
      </c>
      <c r="P73" s="27"/>
      <c r="Q73" s="28">
        <f>+C73-15018.5</f>
        <v>43955.365400000002</v>
      </c>
    </row>
    <row r="74" spans="1:20" x14ac:dyDescent="0.2">
      <c r="A74" s="48"/>
      <c r="B74" s="49"/>
      <c r="C74" s="48"/>
      <c r="D74" s="48"/>
    </row>
    <row r="75" spans="1:20" x14ac:dyDescent="0.2">
      <c r="A75" s="48"/>
      <c r="B75" s="49"/>
      <c r="C75" s="48"/>
      <c r="D75" s="48"/>
    </row>
    <row r="76" spans="1:20" x14ac:dyDescent="0.2">
      <c r="A76" s="48"/>
      <c r="B76" s="49"/>
      <c r="C76" s="48"/>
      <c r="D76" s="48"/>
    </row>
    <row r="77" spans="1:20" x14ac:dyDescent="0.2">
      <c r="A77" s="48"/>
      <c r="B77" s="49"/>
      <c r="C77" s="48"/>
      <c r="D77" s="48"/>
    </row>
    <row r="78" spans="1:20" x14ac:dyDescent="0.2">
      <c r="A78" s="48"/>
      <c r="B78" s="49"/>
      <c r="C78" s="48"/>
      <c r="D78" s="48"/>
    </row>
    <row r="79" spans="1:20" x14ac:dyDescent="0.2">
      <c r="A79" s="48"/>
      <c r="B79" s="49"/>
      <c r="C79" s="48"/>
      <c r="D79" s="48"/>
    </row>
    <row r="80" spans="1:20" x14ac:dyDescent="0.2">
      <c r="A80" s="48"/>
      <c r="B80" s="49"/>
      <c r="C80" s="48"/>
      <c r="D80" s="48"/>
    </row>
    <row r="81" spans="1:4" x14ac:dyDescent="0.2">
      <c r="A81" s="48"/>
      <c r="B81" s="49"/>
      <c r="C81" s="48"/>
      <c r="D81" s="48"/>
    </row>
    <row r="82" spans="1:4" x14ac:dyDescent="0.2">
      <c r="A82" s="48"/>
      <c r="B82" s="49"/>
      <c r="C82" s="48"/>
      <c r="D82" s="48"/>
    </row>
    <row r="83" spans="1:4" x14ac:dyDescent="0.2">
      <c r="A83" s="48"/>
      <c r="B83" s="49"/>
      <c r="C83" s="48"/>
      <c r="D83" s="48"/>
    </row>
    <row r="84" spans="1:4" x14ac:dyDescent="0.2">
      <c r="A84" s="48"/>
      <c r="B84" s="49"/>
      <c r="C84" s="48"/>
      <c r="D84" s="48"/>
    </row>
    <row r="85" spans="1:4" x14ac:dyDescent="0.2">
      <c r="A85" s="48"/>
      <c r="B85" s="49"/>
      <c r="C85" s="48"/>
      <c r="D85" s="48"/>
    </row>
    <row r="86" spans="1:4" x14ac:dyDescent="0.2">
      <c r="A86" s="48"/>
      <c r="B86" s="49"/>
      <c r="C86" s="48"/>
      <c r="D86" s="48"/>
    </row>
    <row r="87" spans="1:4" x14ac:dyDescent="0.2">
      <c r="A87" s="48"/>
      <c r="B87" s="49"/>
      <c r="C87" s="48"/>
      <c r="D87" s="48"/>
    </row>
    <row r="88" spans="1:4" x14ac:dyDescent="0.2">
      <c r="A88" s="48"/>
      <c r="B88" s="49"/>
      <c r="C88" s="48"/>
      <c r="D88" s="48"/>
    </row>
    <row r="89" spans="1:4" x14ac:dyDescent="0.2">
      <c r="A89" s="48"/>
      <c r="B89" s="49"/>
      <c r="C89" s="48"/>
      <c r="D89" s="48"/>
    </row>
    <row r="90" spans="1:4" x14ac:dyDescent="0.2">
      <c r="A90" s="48"/>
      <c r="B90" s="49"/>
      <c r="C90" s="48"/>
      <c r="D90" s="48"/>
    </row>
    <row r="91" spans="1:4" x14ac:dyDescent="0.2">
      <c r="A91" s="48"/>
      <c r="B91" s="49"/>
      <c r="C91" s="48"/>
      <c r="D91" s="48"/>
    </row>
    <row r="92" spans="1:4" x14ac:dyDescent="0.2">
      <c r="A92" s="48"/>
      <c r="B92" s="49"/>
      <c r="C92" s="48"/>
      <c r="D92" s="48"/>
    </row>
    <row r="93" spans="1:4" x14ac:dyDescent="0.2">
      <c r="A93" s="48"/>
      <c r="B93" s="49"/>
      <c r="C93" s="48"/>
      <c r="D93" s="48"/>
    </row>
    <row r="94" spans="1:4" x14ac:dyDescent="0.2">
      <c r="A94" s="48"/>
      <c r="B94" s="49"/>
      <c r="C94" s="48"/>
      <c r="D94" s="48"/>
    </row>
    <row r="95" spans="1:4" x14ac:dyDescent="0.2">
      <c r="A95" s="48"/>
      <c r="B95" s="49"/>
      <c r="C95" s="48"/>
      <c r="D95" s="48"/>
    </row>
    <row r="96" spans="1:4" x14ac:dyDescent="0.2">
      <c r="A96" s="48"/>
      <c r="B96" s="49"/>
      <c r="C96" s="48"/>
      <c r="D96" s="48"/>
    </row>
    <row r="97" spans="1:4" x14ac:dyDescent="0.2">
      <c r="A97" s="35"/>
      <c r="B97" s="4"/>
      <c r="C97" s="35"/>
      <c r="D97" s="35"/>
    </row>
    <row r="98" spans="1:4" x14ac:dyDescent="0.2">
      <c r="A98" s="35"/>
      <c r="B98" s="4"/>
      <c r="C98" s="35"/>
      <c r="D98" s="35"/>
    </row>
    <row r="99" spans="1:4" x14ac:dyDescent="0.2">
      <c r="A99" s="35"/>
      <c r="B99" s="4"/>
      <c r="C99" s="35"/>
      <c r="D99" s="35"/>
    </row>
    <row r="100" spans="1:4" x14ac:dyDescent="0.2">
      <c r="A100" s="35"/>
      <c r="B100" s="4"/>
      <c r="C100" s="35"/>
      <c r="D100" s="35"/>
    </row>
    <row r="101" spans="1:4" x14ac:dyDescent="0.2">
      <c r="A101" s="35"/>
      <c r="B101" s="4"/>
      <c r="C101" s="35"/>
      <c r="D101" s="35"/>
    </row>
    <row r="102" spans="1:4" x14ac:dyDescent="0.2">
      <c r="A102" s="35"/>
      <c r="B102" s="4"/>
      <c r="C102" s="35"/>
      <c r="D102" s="35"/>
    </row>
    <row r="103" spans="1:4" x14ac:dyDescent="0.2">
      <c r="A103" s="35"/>
      <c r="B103" s="4"/>
      <c r="C103" s="35"/>
      <c r="D103" s="35"/>
    </row>
    <row r="104" spans="1:4" x14ac:dyDescent="0.2">
      <c r="A104" s="35"/>
      <c r="B104" s="4"/>
      <c r="C104" s="35"/>
      <c r="D104" s="35"/>
    </row>
    <row r="105" spans="1:4" x14ac:dyDescent="0.2">
      <c r="A105" s="35"/>
      <c r="B105" s="4"/>
      <c r="C105" s="35"/>
      <c r="D105" s="35"/>
    </row>
    <row r="106" spans="1:4" x14ac:dyDescent="0.2">
      <c r="A106" s="35"/>
      <c r="B106" s="4"/>
      <c r="C106" s="35"/>
      <c r="D106" s="35"/>
    </row>
    <row r="107" spans="1:4" x14ac:dyDescent="0.2">
      <c r="A107" s="35"/>
      <c r="B107" s="4"/>
      <c r="C107" s="35"/>
      <c r="D107" s="35"/>
    </row>
    <row r="108" spans="1:4" x14ac:dyDescent="0.2">
      <c r="A108" s="35"/>
      <c r="B108" s="4"/>
      <c r="C108" s="35"/>
      <c r="D108" s="35"/>
    </row>
    <row r="109" spans="1:4" x14ac:dyDescent="0.2">
      <c r="A109" s="35"/>
      <c r="B109" s="4"/>
      <c r="C109" s="35"/>
      <c r="D109" s="35"/>
    </row>
    <row r="110" spans="1:4" x14ac:dyDescent="0.2">
      <c r="A110" s="35"/>
      <c r="B110" s="4"/>
      <c r="C110" s="35"/>
      <c r="D110" s="35"/>
    </row>
    <row r="111" spans="1:4" x14ac:dyDescent="0.2">
      <c r="A111" s="35"/>
      <c r="B111" s="4"/>
      <c r="C111" s="35"/>
      <c r="D111" s="35"/>
    </row>
    <row r="112" spans="1:4" x14ac:dyDescent="0.2">
      <c r="A112" s="35"/>
      <c r="B112" s="4"/>
      <c r="C112" s="35"/>
      <c r="D112" s="35"/>
    </row>
    <row r="113" spans="1:4" x14ac:dyDescent="0.2">
      <c r="A113" s="35"/>
      <c r="B113" s="4"/>
      <c r="C113" s="35"/>
      <c r="D113" s="35"/>
    </row>
    <row r="114" spans="1:4" x14ac:dyDescent="0.2">
      <c r="A114" s="35"/>
      <c r="B114" s="4"/>
      <c r="C114" s="35"/>
      <c r="D114" s="35"/>
    </row>
    <row r="115" spans="1:4" x14ac:dyDescent="0.2">
      <c r="A115" s="35"/>
      <c r="B115" s="4"/>
      <c r="C115" s="35"/>
      <c r="D115" s="35"/>
    </row>
    <row r="116" spans="1:4" x14ac:dyDescent="0.2">
      <c r="A116" s="35"/>
      <c r="B116" s="4"/>
      <c r="C116" s="35"/>
      <c r="D116" s="35"/>
    </row>
    <row r="117" spans="1:4" x14ac:dyDescent="0.2">
      <c r="A117" s="35"/>
      <c r="B117" s="4"/>
      <c r="C117" s="35"/>
      <c r="D117" s="35"/>
    </row>
    <row r="118" spans="1:4" x14ac:dyDescent="0.2">
      <c r="A118" s="35"/>
      <c r="B118" s="4"/>
      <c r="C118" s="35"/>
      <c r="D118" s="35"/>
    </row>
    <row r="119" spans="1:4" x14ac:dyDescent="0.2">
      <c r="A119" s="35"/>
      <c r="B119" s="4"/>
      <c r="C119" s="35"/>
      <c r="D119" s="35"/>
    </row>
    <row r="120" spans="1:4" x14ac:dyDescent="0.2">
      <c r="A120" s="35"/>
      <c r="B120" s="4"/>
      <c r="C120" s="35"/>
      <c r="D120" s="35"/>
    </row>
    <row r="121" spans="1:4" x14ac:dyDescent="0.2">
      <c r="A121" s="35"/>
      <c r="B121" s="4"/>
      <c r="C121" s="35"/>
      <c r="D121" s="35"/>
    </row>
    <row r="122" spans="1:4" x14ac:dyDescent="0.2">
      <c r="B122" s="4"/>
    </row>
    <row r="123" spans="1:4" x14ac:dyDescent="0.2">
      <c r="B123" s="4"/>
    </row>
    <row r="124" spans="1:4" x14ac:dyDescent="0.2">
      <c r="B124" s="4"/>
    </row>
    <row r="125" spans="1:4" x14ac:dyDescent="0.2">
      <c r="B125" s="4"/>
    </row>
    <row r="126" spans="1:4" x14ac:dyDescent="0.2">
      <c r="B126" s="4"/>
    </row>
  </sheetData>
  <protectedRanges>
    <protectedRange sqref="A72:D73" name="Range1"/>
  </protectedRanges>
  <phoneticPr fontId="8" type="noConversion"/>
  <hyperlinks>
    <hyperlink ref="H64709" r:id="rId1" display="http://vsolj.cetus-net.org/bulletin.html"/>
    <hyperlink ref="H64702" r:id="rId2" display="https://www.aavso.org/ejaavso"/>
    <hyperlink ref="AP1560" r:id="rId3" display="http://cdsbib.u-strasbg.fr/cgi-bin/cdsbib?1990RMxAA..21..381G"/>
    <hyperlink ref="AP1557" r:id="rId4" display="http://cdsbib.u-strasbg.fr/cgi-bin/cdsbib?1990RMxAA..21..381G"/>
    <hyperlink ref="AP1559" r:id="rId5" display="http://cdsbib.u-strasbg.fr/cgi-bin/cdsbib?1990RMxAA..21..381G"/>
    <hyperlink ref="AP1535" r:id="rId6" display="http://cdsbib.u-strasbg.fr/cgi-bin/cdsbib?1990RMxAA..21..381G"/>
    <hyperlink ref="I64709" r:id="rId7" display="http://vsolj.cetus-net.org/bulletin.html"/>
    <hyperlink ref="AQ1696" r:id="rId8" display="http://cdsbib.u-strasbg.fr/cgi-bin/cdsbib?1990RMxAA..21..381G"/>
    <hyperlink ref="AQ3340" r:id="rId9" display="http://cdsbib.u-strasbg.fr/cgi-bin/cdsbib?1990RMxAA..21..381G"/>
    <hyperlink ref="AQ1697" r:id="rId10" display="http://cdsbib.u-strasbg.fr/cgi-bin/cdsbib?1990RMxAA..21..381G"/>
    <hyperlink ref="H64706" r:id="rId11" display="https://www.aavso.org/ejaavso"/>
    <hyperlink ref="H2547" r:id="rId12" display="http://vsolj.cetus-net.org/bulletin.html"/>
    <hyperlink ref="AP5785" r:id="rId13" display="http://cdsbib.u-strasbg.fr/cgi-bin/cdsbib?1990RMxAA..21..381G"/>
    <hyperlink ref="AP5788" r:id="rId14" display="http://cdsbib.u-strasbg.fr/cgi-bin/cdsbib?1990RMxAA..21..381G"/>
    <hyperlink ref="AP5786" r:id="rId15" display="http://cdsbib.u-strasbg.fr/cgi-bin/cdsbib?1990RMxAA..21..381G"/>
    <hyperlink ref="AP5764" r:id="rId16" display="http://cdsbib.u-strasbg.fr/cgi-bin/cdsbib?1990RMxAA..21..381G"/>
    <hyperlink ref="I2547" r:id="rId17" display="http://vsolj.cetus-net.org/bulletin.html"/>
    <hyperlink ref="AQ5898" r:id="rId18" display="http://cdsbib.u-strasbg.fr/cgi-bin/cdsbib?1990RMxAA..21..381G"/>
    <hyperlink ref="AQ450" r:id="rId19" display="http://cdsbib.u-strasbg.fr/cgi-bin/cdsbib?1990RMxAA..21..381G"/>
    <hyperlink ref="AQ5899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12"/>
  <sheetViews>
    <sheetView topLeftCell="A16" workbookViewId="0">
      <selection activeCell="A21" sqref="A21:D57"/>
    </sheetView>
  </sheetViews>
  <sheetFormatPr defaultRowHeight="12.75" x14ac:dyDescent="0.2"/>
  <cols>
    <col min="1" max="1" width="19.7109375" style="35" customWidth="1"/>
    <col min="2" max="2" width="4.42578125" style="10" customWidth="1"/>
    <col min="3" max="3" width="12.7109375" style="35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35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4" t="s">
        <v>54</v>
      </c>
      <c r="I1" s="36" t="s">
        <v>55</v>
      </c>
      <c r="J1" s="37" t="s">
        <v>56</v>
      </c>
    </row>
    <row r="2" spans="1:16" x14ac:dyDescent="0.2">
      <c r="I2" s="38" t="s">
        <v>57</v>
      </c>
      <c r="J2" s="39" t="s">
        <v>58</v>
      </c>
    </row>
    <row r="3" spans="1:16" x14ac:dyDescent="0.2">
      <c r="A3" s="40" t="s">
        <v>59</v>
      </c>
      <c r="I3" s="38" t="s">
        <v>60</v>
      </c>
      <c r="J3" s="39" t="s">
        <v>61</v>
      </c>
    </row>
    <row r="4" spans="1:16" x14ac:dyDescent="0.2">
      <c r="I4" s="38" t="s">
        <v>62</v>
      </c>
      <c r="J4" s="39" t="s">
        <v>61</v>
      </c>
    </row>
    <row r="5" spans="1:16" ht="13.5" thickBot="1" x14ac:dyDescent="0.25">
      <c r="I5" s="41" t="s">
        <v>63</v>
      </c>
      <c r="J5" s="42" t="s">
        <v>64</v>
      </c>
    </row>
    <row r="10" spans="1:16" ht="13.5" thickBot="1" x14ac:dyDescent="0.25"/>
    <row r="11" spans="1:16" ht="12.75" customHeight="1" thickBot="1" x14ac:dyDescent="0.25">
      <c r="A11" s="35" t="str">
        <f t="shared" ref="A11:A57" si="0">P11</f>
        <v> VSSC 60.18 </v>
      </c>
      <c r="B11" s="4" t="str">
        <f t="shared" ref="B11:B57" si="1">IF(H11=INT(H11),"I","II")</f>
        <v>I</v>
      </c>
      <c r="C11" s="35">
        <f t="shared" ref="C11:C57" si="2">1*G11</f>
        <v>45191.48</v>
      </c>
      <c r="D11" s="10" t="str">
        <f t="shared" ref="D11:D57" si="3">VLOOKUP(F11,I$1:J$5,2,FALSE)</f>
        <v>vis</v>
      </c>
      <c r="E11" s="43">
        <f>VLOOKUP(C11,Active!C$21:E$973,3,FALSE)</f>
        <v>3218.9959076445289</v>
      </c>
      <c r="F11" s="4" t="s">
        <v>63</v>
      </c>
      <c r="G11" s="10" t="str">
        <f t="shared" ref="G11:G57" si="4">MID(I11,3,LEN(I11)-3)</f>
        <v>45191.48</v>
      </c>
      <c r="H11" s="35">
        <f t="shared" ref="H11:H57" si="5">1*K11</f>
        <v>-961</v>
      </c>
      <c r="I11" s="44" t="s">
        <v>181</v>
      </c>
      <c r="J11" s="45" t="s">
        <v>182</v>
      </c>
      <c r="K11" s="44">
        <v>-961</v>
      </c>
      <c r="L11" s="44" t="s">
        <v>178</v>
      </c>
      <c r="M11" s="45" t="s">
        <v>74</v>
      </c>
      <c r="N11" s="45"/>
      <c r="O11" s="46" t="s">
        <v>179</v>
      </c>
      <c r="P11" s="46" t="s">
        <v>180</v>
      </c>
    </row>
    <row r="12" spans="1:16" ht="12.75" customHeight="1" thickBot="1" x14ac:dyDescent="0.25">
      <c r="A12" s="35" t="str">
        <f t="shared" si="0"/>
        <v> VSSC 60.18 </v>
      </c>
      <c r="B12" s="4" t="str">
        <f t="shared" si="1"/>
        <v>I</v>
      </c>
      <c r="C12" s="35">
        <f t="shared" si="2"/>
        <v>45442.57</v>
      </c>
      <c r="D12" s="10" t="str">
        <f t="shared" si="3"/>
        <v>vis</v>
      </c>
      <c r="E12" s="43">
        <f>VLOOKUP(C12,Active!C$21:E$973,3,FALSE)</f>
        <v>3252.007426112586</v>
      </c>
      <c r="F12" s="4" t="s">
        <v>63</v>
      </c>
      <c r="G12" s="10" t="str">
        <f t="shared" si="4"/>
        <v>45442.57</v>
      </c>
      <c r="H12" s="35">
        <f t="shared" si="5"/>
        <v>-928</v>
      </c>
      <c r="I12" s="44" t="s">
        <v>183</v>
      </c>
      <c r="J12" s="45" t="s">
        <v>184</v>
      </c>
      <c r="K12" s="44">
        <v>-928</v>
      </c>
      <c r="L12" s="44" t="s">
        <v>79</v>
      </c>
      <c r="M12" s="45" t="s">
        <v>74</v>
      </c>
      <c r="N12" s="45"/>
      <c r="O12" s="46" t="s">
        <v>179</v>
      </c>
      <c r="P12" s="46" t="s">
        <v>180</v>
      </c>
    </row>
    <row r="13" spans="1:16" ht="12.75" customHeight="1" thickBot="1" x14ac:dyDescent="0.25">
      <c r="A13" s="35" t="str">
        <f t="shared" si="0"/>
        <v> BBS 113 </v>
      </c>
      <c r="B13" s="4" t="str">
        <f t="shared" si="1"/>
        <v>I</v>
      </c>
      <c r="C13" s="35">
        <f t="shared" si="2"/>
        <v>50234.400000000001</v>
      </c>
      <c r="D13" s="10" t="str">
        <f t="shared" si="3"/>
        <v>vis</v>
      </c>
      <c r="E13" s="43">
        <f>VLOOKUP(C13,Active!C$21:E$973,3,FALSE)</f>
        <v>3882.0029836449089</v>
      </c>
      <c r="F13" s="4" t="s">
        <v>63</v>
      </c>
      <c r="G13" s="10" t="str">
        <f t="shared" si="4"/>
        <v>50234.40</v>
      </c>
      <c r="H13" s="35">
        <f t="shared" si="5"/>
        <v>-298</v>
      </c>
      <c r="I13" s="44" t="s">
        <v>185</v>
      </c>
      <c r="J13" s="45" t="s">
        <v>186</v>
      </c>
      <c r="K13" s="44">
        <v>-298</v>
      </c>
      <c r="L13" s="44" t="s">
        <v>187</v>
      </c>
      <c r="M13" s="45" t="s">
        <v>159</v>
      </c>
      <c r="N13" s="45" t="s">
        <v>160</v>
      </c>
      <c r="O13" s="46" t="s">
        <v>188</v>
      </c>
      <c r="P13" s="46" t="s">
        <v>189</v>
      </c>
    </row>
    <row r="14" spans="1:16" ht="12.75" customHeight="1" thickBot="1" x14ac:dyDescent="0.25">
      <c r="A14" s="35" t="str">
        <f t="shared" si="0"/>
        <v>BAVM 158 </v>
      </c>
      <c r="B14" s="4" t="str">
        <f t="shared" si="1"/>
        <v>I</v>
      </c>
      <c r="C14" s="35">
        <f t="shared" si="2"/>
        <v>52744.427199999998</v>
      </c>
      <c r="D14" s="10" t="str">
        <f t="shared" si="3"/>
        <v>vis</v>
      </c>
      <c r="E14" s="43">
        <f>VLOOKUP(C14,Active!C$21:E$973,3,FALSE)</f>
        <v>4212.0034188200498</v>
      </c>
      <c r="F14" s="4" t="s">
        <v>63</v>
      </c>
      <c r="G14" s="10" t="str">
        <f t="shared" si="4"/>
        <v>52744.4272</v>
      </c>
      <c r="H14" s="35">
        <f t="shared" si="5"/>
        <v>32</v>
      </c>
      <c r="I14" s="44" t="s">
        <v>190</v>
      </c>
      <c r="J14" s="45" t="s">
        <v>191</v>
      </c>
      <c r="K14" s="44">
        <v>32</v>
      </c>
      <c r="L14" s="44" t="s">
        <v>192</v>
      </c>
      <c r="M14" s="45" t="s">
        <v>159</v>
      </c>
      <c r="N14" s="45" t="s">
        <v>193</v>
      </c>
      <c r="O14" s="46" t="s">
        <v>194</v>
      </c>
      <c r="P14" s="47" t="s">
        <v>195</v>
      </c>
    </row>
    <row r="15" spans="1:16" ht="12.75" customHeight="1" thickBot="1" x14ac:dyDescent="0.25">
      <c r="A15" s="35" t="str">
        <f t="shared" si="0"/>
        <v>BAVM 178 </v>
      </c>
      <c r="B15" s="4" t="str">
        <f t="shared" si="1"/>
        <v>I</v>
      </c>
      <c r="C15" s="35">
        <f t="shared" si="2"/>
        <v>53862.533000000003</v>
      </c>
      <c r="D15" s="10" t="str">
        <f t="shared" si="3"/>
        <v>vis</v>
      </c>
      <c r="E15" s="43">
        <f>VLOOKUP(C15,Active!C$21:E$973,3,FALSE)</f>
        <v>4359.0039774481993</v>
      </c>
      <c r="F15" s="4" t="s">
        <v>63</v>
      </c>
      <c r="G15" s="10" t="str">
        <f t="shared" si="4"/>
        <v>53862.5330</v>
      </c>
      <c r="H15" s="35">
        <f t="shared" si="5"/>
        <v>179</v>
      </c>
      <c r="I15" s="44" t="s">
        <v>196</v>
      </c>
      <c r="J15" s="45" t="s">
        <v>197</v>
      </c>
      <c r="K15" s="44">
        <v>179</v>
      </c>
      <c r="L15" s="44" t="s">
        <v>198</v>
      </c>
      <c r="M15" s="45" t="s">
        <v>199</v>
      </c>
      <c r="N15" s="45" t="s">
        <v>200</v>
      </c>
      <c r="O15" s="46" t="s">
        <v>194</v>
      </c>
      <c r="P15" s="47" t="s">
        <v>201</v>
      </c>
    </row>
    <row r="16" spans="1:16" ht="12.75" customHeight="1" thickBot="1" x14ac:dyDescent="0.25">
      <c r="A16" s="35" t="str">
        <f t="shared" si="0"/>
        <v>JAAVSO 36(2);186 </v>
      </c>
      <c r="B16" s="4" t="str">
        <f t="shared" si="1"/>
        <v>I</v>
      </c>
      <c r="C16" s="35">
        <f t="shared" si="2"/>
        <v>54212.414700000001</v>
      </c>
      <c r="D16" s="10" t="str">
        <f t="shared" si="3"/>
        <v>vis</v>
      </c>
      <c r="E16" s="43">
        <f>VLOOKUP(C16,Active!C$21:E$973,3,FALSE)</f>
        <v>4405.0039224925467</v>
      </c>
      <c r="F16" s="4" t="s">
        <v>63</v>
      </c>
      <c r="G16" s="10" t="str">
        <f t="shared" si="4"/>
        <v>54212.4147</v>
      </c>
      <c r="H16" s="35">
        <f t="shared" si="5"/>
        <v>225</v>
      </c>
      <c r="I16" s="44" t="s">
        <v>202</v>
      </c>
      <c r="J16" s="45" t="s">
        <v>203</v>
      </c>
      <c r="K16" s="44" t="s">
        <v>204</v>
      </c>
      <c r="L16" s="44" t="s">
        <v>205</v>
      </c>
      <c r="M16" s="45" t="s">
        <v>199</v>
      </c>
      <c r="N16" s="45" t="s">
        <v>193</v>
      </c>
      <c r="O16" s="46" t="s">
        <v>206</v>
      </c>
      <c r="P16" s="47" t="s">
        <v>207</v>
      </c>
    </row>
    <row r="17" spans="1:16" ht="12.75" customHeight="1" thickBot="1" x14ac:dyDescent="0.25">
      <c r="A17" s="35" t="str">
        <f t="shared" si="0"/>
        <v>JAAVSO 36(2);186 </v>
      </c>
      <c r="B17" s="4" t="str">
        <f t="shared" si="1"/>
        <v>I</v>
      </c>
      <c r="C17" s="35">
        <f t="shared" si="2"/>
        <v>54592.684500000003</v>
      </c>
      <c r="D17" s="10" t="str">
        <f t="shared" si="3"/>
        <v>vis</v>
      </c>
      <c r="E17" s="43">
        <f>VLOOKUP(C17,Active!C$21:E$973,3,FALSE)</f>
        <v>4454.9990777179419</v>
      </c>
      <c r="F17" s="4" t="s">
        <v>63</v>
      </c>
      <c r="G17" s="10" t="str">
        <f t="shared" si="4"/>
        <v>54592.6845</v>
      </c>
      <c r="H17" s="35">
        <f t="shared" si="5"/>
        <v>275</v>
      </c>
      <c r="I17" s="44" t="s">
        <v>208</v>
      </c>
      <c r="J17" s="45" t="s">
        <v>209</v>
      </c>
      <c r="K17" s="44" t="s">
        <v>210</v>
      </c>
      <c r="L17" s="44" t="s">
        <v>211</v>
      </c>
      <c r="M17" s="45" t="s">
        <v>199</v>
      </c>
      <c r="N17" s="45" t="s">
        <v>193</v>
      </c>
      <c r="O17" s="46" t="s">
        <v>212</v>
      </c>
      <c r="P17" s="47" t="s">
        <v>207</v>
      </c>
    </row>
    <row r="18" spans="1:16" ht="12.75" customHeight="1" thickBot="1" x14ac:dyDescent="0.25">
      <c r="A18" s="35" t="str">
        <f t="shared" si="0"/>
        <v>BAVM 201 </v>
      </c>
      <c r="B18" s="4" t="str">
        <f t="shared" si="1"/>
        <v>II</v>
      </c>
      <c r="C18" s="35">
        <f t="shared" si="2"/>
        <v>54596.517599999999</v>
      </c>
      <c r="D18" s="10" t="str">
        <f t="shared" si="3"/>
        <v>vis</v>
      </c>
      <c r="E18" s="43">
        <f>VLOOKUP(C18,Active!C$21:E$973,3,FALSE)</f>
        <v>4455.5030263078497</v>
      </c>
      <c r="F18" s="4" t="s">
        <v>63</v>
      </c>
      <c r="G18" s="10" t="str">
        <f t="shared" si="4"/>
        <v>54596.5176</v>
      </c>
      <c r="H18" s="35">
        <f t="shared" si="5"/>
        <v>275.5</v>
      </c>
      <c r="I18" s="44" t="s">
        <v>213</v>
      </c>
      <c r="J18" s="45" t="s">
        <v>214</v>
      </c>
      <c r="K18" s="44" t="s">
        <v>215</v>
      </c>
      <c r="L18" s="44" t="s">
        <v>216</v>
      </c>
      <c r="M18" s="45" t="s">
        <v>199</v>
      </c>
      <c r="N18" s="45" t="s">
        <v>200</v>
      </c>
      <c r="O18" s="46" t="s">
        <v>194</v>
      </c>
      <c r="P18" s="47" t="s">
        <v>217</v>
      </c>
    </row>
    <row r="19" spans="1:16" ht="12.75" customHeight="1" thickBot="1" x14ac:dyDescent="0.25">
      <c r="A19" s="35" t="str">
        <f t="shared" si="0"/>
        <v> JAAVSO 39;94 </v>
      </c>
      <c r="B19" s="4" t="str">
        <f t="shared" si="1"/>
        <v>I</v>
      </c>
      <c r="C19" s="35">
        <f t="shared" si="2"/>
        <v>55345.730199999998</v>
      </c>
      <c r="D19" s="10" t="str">
        <f t="shared" si="3"/>
        <v>vis</v>
      </c>
      <c r="E19" s="43">
        <f>VLOOKUP(C19,Active!C$21:E$973,3,FALSE)</f>
        <v>4554.0041437613572</v>
      </c>
      <c r="F19" s="4" t="s">
        <v>63</v>
      </c>
      <c r="G19" s="10" t="str">
        <f t="shared" si="4"/>
        <v>55345.7302</v>
      </c>
      <c r="H19" s="35">
        <f t="shared" si="5"/>
        <v>374</v>
      </c>
      <c r="I19" s="44" t="s">
        <v>218</v>
      </c>
      <c r="J19" s="45" t="s">
        <v>219</v>
      </c>
      <c r="K19" s="44" t="s">
        <v>220</v>
      </c>
      <c r="L19" s="44" t="s">
        <v>221</v>
      </c>
      <c r="M19" s="45" t="s">
        <v>199</v>
      </c>
      <c r="N19" s="45" t="s">
        <v>222</v>
      </c>
      <c r="O19" s="46" t="s">
        <v>223</v>
      </c>
      <c r="P19" s="46" t="s">
        <v>224</v>
      </c>
    </row>
    <row r="20" spans="1:16" ht="12.75" customHeight="1" thickBot="1" x14ac:dyDescent="0.25">
      <c r="A20" s="35" t="str">
        <f t="shared" si="0"/>
        <v>BAVM 228 </v>
      </c>
      <c r="B20" s="4" t="str">
        <f t="shared" si="1"/>
        <v>I</v>
      </c>
      <c r="C20" s="35">
        <f t="shared" si="2"/>
        <v>56007.471899999997</v>
      </c>
      <c r="D20" s="10" t="str">
        <f t="shared" si="3"/>
        <v>vis</v>
      </c>
      <c r="E20" s="43">
        <f>VLOOKUP(C20,Active!C$21:E$973,3,FALSE)</f>
        <v>4641.0052125041721</v>
      </c>
      <c r="F20" s="4" t="s">
        <v>63</v>
      </c>
      <c r="G20" s="10" t="str">
        <f t="shared" si="4"/>
        <v>56007.4719</v>
      </c>
      <c r="H20" s="35">
        <f t="shared" si="5"/>
        <v>461</v>
      </c>
      <c r="I20" s="44" t="s">
        <v>225</v>
      </c>
      <c r="J20" s="45" t="s">
        <v>226</v>
      </c>
      <c r="K20" s="44" t="s">
        <v>227</v>
      </c>
      <c r="L20" s="44" t="s">
        <v>228</v>
      </c>
      <c r="M20" s="45" t="s">
        <v>199</v>
      </c>
      <c r="N20" s="45" t="s">
        <v>63</v>
      </c>
      <c r="O20" s="46" t="s">
        <v>194</v>
      </c>
      <c r="P20" s="47" t="s">
        <v>229</v>
      </c>
    </row>
    <row r="21" spans="1:16" ht="12.75" customHeight="1" thickBot="1" x14ac:dyDescent="0.25">
      <c r="A21" s="35" t="str">
        <f t="shared" si="0"/>
        <v> AC 120.8 </v>
      </c>
      <c r="B21" s="4" t="str">
        <f t="shared" si="1"/>
        <v>I</v>
      </c>
      <c r="C21" s="35">
        <f t="shared" si="2"/>
        <v>20707.375</v>
      </c>
      <c r="D21" s="10" t="str">
        <f t="shared" si="3"/>
        <v>vis</v>
      </c>
      <c r="E21" s="43">
        <f>VLOOKUP(C21,Active!C$21:E$973,3,FALSE)</f>
        <v>7.88837113579576E-4</v>
      </c>
      <c r="F21" s="4" t="s">
        <v>63</v>
      </c>
      <c r="G21" s="10" t="str">
        <f t="shared" si="4"/>
        <v>20707.375</v>
      </c>
      <c r="H21" s="35">
        <f t="shared" si="5"/>
        <v>-4180</v>
      </c>
      <c r="I21" s="44" t="s">
        <v>66</v>
      </c>
      <c r="J21" s="45" t="s">
        <v>67</v>
      </c>
      <c r="K21" s="44">
        <v>-4180</v>
      </c>
      <c r="L21" s="44" t="s">
        <v>68</v>
      </c>
      <c r="M21" s="45" t="s">
        <v>65</v>
      </c>
      <c r="N21" s="45"/>
      <c r="O21" s="46" t="s">
        <v>69</v>
      </c>
      <c r="P21" s="46" t="s">
        <v>70</v>
      </c>
    </row>
    <row r="22" spans="1:16" ht="12.75" customHeight="1" thickBot="1" x14ac:dyDescent="0.25">
      <c r="A22" s="35" t="str">
        <f t="shared" si="0"/>
        <v> AN 214.4 </v>
      </c>
      <c r="B22" s="4" t="str">
        <f t="shared" si="1"/>
        <v>I</v>
      </c>
      <c r="C22" s="35">
        <f t="shared" si="2"/>
        <v>20707.46</v>
      </c>
      <c r="D22" s="10" t="str">
        <f t="shared" si="3"/>
        <v>vis</v>
      </c>
      <c r="E22" s="43">
        <f>VLOOKUP(C22,Active!C$21:E$973,3,FALSE)</f>
        <v>1.1964029553565425E-2</v>
      </c>
      <c r="F22" s="4" t="s">
        <v>63</v>
      </c>
      <c r="G22" s="10" t="str">
        <f t="shared" si="4"/>
        <v>20707.46</v>
      </c>
      <c r="H22" s="35">
        <f t="shared" si="5"/>
        <v>-4180</v>
      </c>
      <c r="I22" s="44" t="s">
        <v>71</v>
      </c>
      <c r="J22" s="45" t="s">
        <v>72</v>
      </c>
      <c r="K22" s="44">
        <v>-4180</v>
      </c>
      <c r="L22" s="44" t="s">
        <v>73</v>
      </c>
      <c r="M22" s="45" t="s">
        <v>74</v>
      </c>
      <c r="N22" s="45"/>
      <c r="O22" s="46" t="s">
        <v>75</v>
      </c>
      <c r="P22" s="46" t="s">
        <v>76</v>
      </c>
    </row>
    <row r="23" spans="1:16" ht="12.75" customHeight="1" thickBot="1" x14ac:dyDescent="0.25">
      <c r="A23" s="35" t="str">
        <f t="shared" si="0"/>
        <v> AN 214.4 </v>
      </c>
      <c r="B23" s="4" t="str">
        <f t="shared" si="1"/>
        <v>I</v>
      </c>
      <c r="C23" s="35">
        <f t="shared" si="2"/>
        <v>20897.53</v>
      </c>
      <c r="D23" s="10" t="str">
        <f t="shared" si="3"/>
        <v>vis</v>
      </c>
      <c r="E23" s="43">
        <f>VLOOKUP(C23,Active!C$21:E$973,3,FALSE)</f>
        <v>25.001009054140923</v>
      </c>
      <c r="F23" s="4" t="s">
        <v>63</v>
      </c>
      <c r="G23" s="10" t="str">
        <f t="shared" si="4"/>
        <v>20897.53</v>
      </c>
      <c r="H23" s="35">
        <f t="shared" si="5"/>
        <v>-4155</v>
      </c>
      <c r="I23" s="44" t="s">
        <v>77</v>
      </c>
      <c r="J23" s="45" t="s">
        <v>78</v>
      </c>
      <c r="K23" s="44">
        <v>-4155</v>
      </c>
      <c r="L23" s="44" t="s">
        <v>79</v>
      </c>
      <c r="M23" s="45" t="s">
        <v>74</v>
      </c>
      <c r="N23" s="45"/>
      <c r="O23" s="46" t="s">
        <v>75</v>
      </c>
      <c r="P23" s="46" t="s">
        <v>76</v>
      </c>
    </row>
    <row r="24" spans="1:16" ht="12.75" customHeight="1" thickBot="1" x14ac:dyDescent="0.25">
      <c r="A24" s="35" t="str">
        <f t="shared" si="0"/>
        <v> AN 214.4 </v>
      </c>
      <c r="B24" s="4" t="str">
        <f t="shared" si="1"/>
        <v>I</v>
      </c>
      <c r="C24" s="35">
        <f t="shared" si="2"/>
        <v>20920.38</v>
      </c>
      <c r="D24" s="10" t="str">
        <f t="shared" si="3"/>
        <v>vis</v>
      </c>
      <c r="E24" s="43">
        <f>VLOOKUP(C24,Active!C$21:E$973,3,FALSE)</f>
        <v>28.005163727744737</v>
      </c>
      <c r="F24" s="4" t="s">
        <v>63</v>
      </c>
      <c r="G24" s="10" t="str">
        <f t="shared" si="4"/>
        <v>20920.38</v>
      </c>
      <c r="H24" s="35">
        <f t="shared" si="5"/>
        <v>-4152</v>
      </c>
      <c r="I24" s="44" t="s">
        <v>80</v>
      </c>
      <c r="J24" s="45" t="s">
        <v>81</v>
      </c>
      <c r="K24" s="44">
        <v>-4152</v>
      </c>
      <c r="L24" s="44" t="s">
        <v>82</v>
      </c>
      <c r="M24" s="45" t="s">
        <v>74</v>
      </c>
      <c r="N24" s="45"/>
      <c r="O24" s="46" t="s">
        <v>75</v>
      </c>
      <c r="P24" s="46" t="s">
        <v>76</v>
      </c>
    </row>
    <row r="25" spans="1:16" ht="12.75" customHeight="1" thickBot="1" x14ac:dyDescent="0.25">
      <c r="A25" s="35" t="str">
        <f t="shared" si="0"/>
        <v> AN 214.4 </v>
      </c>
      <c r="B25" s="4" t="str">
        <f t="shared" si="1"/>
        <v>I</v>
      </c>
      <c r="C25" s="35">
        <f t="shared" si="2"/>
        <v>20958.41</v>
      </c>
      <c r="D25" s="10" t="str">
        <f t="shared" si="3"/>
        <v>vis</v>
      </c>
      <c r="E25" s="43">
        <f>VLOOKUP(C25,Active!C$21:E$973,3,FALSE)</f>
        <v>33.005076298297844</v>
      </c>
      <c r="F25" s="4" t="s">
        <v>63</v>
      </c>
      <c r="G25" s="10" t="str">
        <f t="shared" si="4"/>
        <v>20958.41</v>
      </c>
      <c r="H25" s="35">
        <f t="shared" si="5"/>
        <v>-4147</v>
      </c>
      <c r="I25" s="44" t="s">
        <v>83</v>
      </c>
      <c r="J25" s="45" t="s">
        <v>84</v>
      </c>
      <c r="K25" s="44">
        <v>-4147</v>
      </c>
      <c r="L25" s="44" t="s">
        <v>82</v>
      </c>
      <c r="M25" s="45" t="s">
        <v>74</v>
      </c>
      <c r="N25" s="45"/>
      <c r="O25" s="46" t="s">
        <v>75</v>
      </c>
      <c r="P25" s="46" t="s">
        <v>76</v>
      </c>
    </row>
    <row r="26" spans="1:16" ht="12.75" customHeight="1" thickBot="1" x14ac:dyDescent="0.25">
      <c r="A26" s="35" t="str">
        <f t="shared" si="0"/>
        <v> AN 214.4 </v>
      </c>
      <c r="B26" s="4" t="str">
        <f t="shared" si="1"/>
        <v>I</v>
      </c>
      <c r="C26" s="35">
        <f t="shared" si="2"/>
        <v>20981.26</v>
      </c>
      <c r="D26" s="10" t="str">
        <f t="shared" si="3"/>
        <v>vis</v>
      </c>
      <c r="E26" s="43">
        <f>VLOOKUP(C26,Active!C$21:E$973,3,FALSE)</f>
        <v>36.009230971901182</v>
      </c>
      <c r="F26" s="4" t="s">
        <v>63</v>
      </c>
      <c r="G26" s="10" t="str">
        <f t="shared" si="4"/>
        <v>20981.26</v>
      </c>
      <c r="H26" s="35">
        <f t="shared" si="5"/>
        <v>-4144</v>
      </c>
      <c r="I26" s="44" t="s">
        <v>85</v>
      </c>
      <c r="J26" s="45" t="s">
        <v>86</v>
      </c>
      <c r="K26" s="44">
        <v>-4144</v>
      </c>
      <c r="L26" s="44" t="s">
        <v>87</v>
      </c>
      <c r="M26" s="45" t="s">
        <v>74</v>
      </c>
      <c r="N26" s="45"/>
      <c r="O26" s="46" t="s">
        <v>75</v>
      </c>
      <c r="P26" s="46" t="s">
        <v>76</v>
      </c>
    </row>
    <row r="27" spans="1:16" ht="12.75" customHeight="1" thickBot="1" x14ac:dyDescent="0.25">
      <c r="A27" s="35" t="str">
        <f t="shared" si="0"/>
        <v> AN 214.4 </v>
      </c>
      <c r="B27" s="4" t="str">
        <f t="shared" si="1"/>
        <v>I</v>
      </c>
      <c r="C27" s="35">
        <f t="shared" si="2"/>
        <v>21057.34</v>
      </c>
      <c r="D27" s="10" t="str">
        <f t="shared" si="3"/>
        <v>vis</v>
      </c>
      <c r="E27" s="43">
        <f>VLOOKUP(C27,Active!C$21:E$973,3,FALSE)</f>
        <v>46.011685570052663</v>
      </c>
      <c r="F27" s="4" t="s">
        <v>63</v>
      </c>
      <c r="G27" s="10" t="str">
        <f t="shared" si="4"/>
        <v>21057.34</v>
      </c>
      <c r="H27" s="35">
        <f t="shared" si="5"/>
        <v>-4134</v>
      </c>
      <c r="I27" s="44" t="s">
        <v>88</v>
      </c>
      <c r="J27" s="45" t="s">
        <v>89</v>
      </c>
      <c r="K27" s="44">
        <v>-4134</v>
      </c>
      <c r="L27" s="44" t="s">
        <v>73</v>
      </c>
      <c r="M27" s="45" t="s">
        <v>74</v>
      </c>
      <c r="N27" s="45"/>
      <c r="O27" s="46" t="s">
        <v>75</v>
      </c>
      <c r="P27" s="46" t="s">
        <v>76</v>
      </c>
    </row>
    <row r="28" spans="1:16" ht="12.75" customHeight="1" thickBot="1" x14ac:dyDescent="0.25">
      <c r="A28" s="35" t="str">
        <f t="shared" si="0"/>
        <v> AN 214.4 </v>
      </c>
      <c r="B28" s="4" t="str">
        <f t="shared" si="1"/>
        <v>I</v>
      </c>
      <c r="C28" s="35">
        <f t="shared" si="2"/>
        <v>21072.42</v>
      </c>
      <c r="D28" s="10" t="str">
        <f t="shared" si="3"/>
        <v>vis</v>
      </c>
      <c r="E28" s="43">
        <f>VLOOKUP(C28,Active!C$21:E$973,3,FALSE)</f>
        <v>47.994296181778502</v>
      </c>
      <c r="F28" s="4" t="s">
        <v>63</v>
      </c>
      <c r="G28" s="10" t="str">
        <f t="shared" si="4"/>
        <v>21072.42</v>
      </c>
      <c r="H28" s="35">
        <f t="shared" si="5"/>
        <v>-4132</v>
      </c>
      <c r="I28" s="44" t="s">
        <v>90</v>
      </c>
      <c r="J28" s="45" t="s">
        <v>91</v>
      </c>
      <c r="K28" s="44">
        <v>-4132</v>
      </c>
      <c r="L28" s="44" t="s">
        <v>92</v>
      </c>
      <c r="M28" s="45" t="s">
        <v>74</v>
      </c>
      <c r="N28" s="45"/>
      <c r="O28" s="46" t="s">
        <v>75</v>
      </c>
      <c r="P28" s="46" t="s">
        <v>76</v>
      </c>
    </row>
    <row r="29" spans="1:16" ht="12.75" customHeight="1" thickBot="1" x14ac:dyDescent="0.25">
      <c r="A29" s="35" t="str">
        <f t="shared" si="0"/>
        <v> AN 214.4 </v>
      </c>
      <c r="B29" s="4" t="str">
        <f t="shared" si="1"/>
        <v>I</v>
      </c>
      <c r="C29" s="35">
        <f t="shared" si="2"/>
        <v>21110.46</v>
      </c>
      <c r="D29" s="10" t="str">
        <f t="shared" si="3"/>
        <v>vis</v>
      </c>
      <c r="E29" s="43">
        <f>VLOOKUP(C29,Active!C$21:E$973,3,FALSE)</f>
        <v>52.995523480854246</v>
      </c>
      <c r="F29" s="4" t="s">
        <v>63</v>
      </c>
      <c r="G29" s="10" t="str">
        <f t="shared" si="4"/>
        <v>21110.46</v>
      </c>
      <c r="H29" s="35">
        <f t="shared" si="5"/>
        <v>-4127</v>
      </c>
      <c r="I29" s="44" t="s">
        <v>93</v>
      </c>
      <c r="J29" s="45" t="s">
        <v>94</v>
      </c>
      <c r="K29" s="44">
        <v>-4127</v>
      </c>
      <c r="L29" s="44" t="s">
        <v>92</v>
      </c>
      <c r="M29" s="45" t="s">
        <v>74</v>
      </c>
      <c r="N29" s="45"/>
      <c r="O29" s="46" t="s">
        <v>75</v>
      </c>
      <c r="P29" s="46" t="s">
        <v>76</v>
      </c>
    </row>
    <row r="30" spans="1:16" ht="12.75" customHeight="1" thickBot="1" x14ac:dyDescent="0.25">
      <c r="A30" s="35" t="str">
        <f t="shared" si="0"/>
        <v> AN 214.4 </v>
      </c>
      <c r="B30" s="4" t="str">
        <f t="shared" si="1"/>
        <v>I</v>
      </c>
      <c r="C30" s="35">
        <f t="shared" si="2"/>
        <v>21133.25</v>
      </c>
      <c r="D30" s="10" t="str">
        <f t="shared" si="3"/>
        <v>vis</v>
      </c>
      <c r="E30" s="43">
        <f>VLOOKUP(C30,Active!C$21:E$973,3,FALSE)</f>
        <v>55.991789783323696</v>
      </c>
      <c r="F30" s="4" t="s">
        <v>63</v>
      </c>
      <c r="G30" s="10" t="str">
        <f t="shared" si="4"/>
        <v>21133.25</v>
      </c>
      <c r="H30" s="35">
        <f t="shared" si="5"/>
        <v>-4124</v>
      </c>
      <c r="I30" s="44" t="s">
        <v>95</v>
      </c>
      <c r="J30" s="45" t="s">
        <v>96</v>
      </c>
      <c r="K30" s="44">
        <v>-4124</v>
      </c>
      <c r="L30" s="44" t="s">
        <v>97</v>
      </c>
      <c r="M30" s="45" t="s">
        <v>74</v>
      </c>
      <c r="N30" s="45"/>
      <c r="O30" s="46" t="s">
        <v>75</v>
      </c>
      <c r="P30" s="46" t="s">
        <v>76</v>
      </c>
    </row>
    <row r="31" spans="1:16" ht="12.75" customHeight="1" thickBot="1" x14ac:dyDescent="0.25">
      <c r="A31" s="35" t="str">
        <f t="shared" si="0"/>
        <v> AN 214.4 </v>
      </c>
      <c r="B31" s="4" t="str">
        <f t="shared" si="1"/>
        <v>I</v>
      </c>
      <c r="C31" s="35">
        <f t="shared" si="2"/>
        <v>21270.32</v>
      </c>
      <c r="D31" s="10" t="str">
        <f t="shared" si="3"/>
        <v>vis</v>
      </c>
      <c r="E31" s="43">
        <f>VLOOKUP(C31,Active!C$21:E$973,3,FALSE)</f>
        <v>74.012773639377713</v>
      </c>
      <c r="F31" s="4" t="s">
        <v>63</v>
      </c>
      <c r="G31" s="10" t="str">
        <f t="shared" si="4"/>
        <v>21270.32</v>
      </c>
      <c r="H31" s="35">
        <f t="shared" si="5"/>
        <v>-4106</v>
      </c>
      <c r="I31" s="44" t="s">
        <v>98</v>
      </c>
      <c r="J31" s="45" t="s">
        <v>99</v>
      </c>
      <c r="K31" s="44">
        <v>-4106</v>
      </c>
      <c r="L31" s="44" t="s">
        <v>100</v>
      </c>
      <c r="M31" s="45" t="s">
        <v>74</v>
      </c>
      <c r="N31" s="45"/>
      <c r="O31" s="46" t="s">
        <v>75</v>
      </c>
      <c r="P31" s="46" t="s">
        <v>76</v>
      </c>
    </row>
    <row r="32" spans="1:16" ht="12.75" customHeight="1" thickBot="1" x14ac:dyDescent="0.25">
      <c r="A32" s="35" t="str">
        <f t="shared" si="0"/>
        <v> AN 214.4 </v>
      </c>
      <c r="B32" s="4" t="str">
        <f t="shared" si="1"/>
        <v>I</v>
      </c>
      <c r="C32" s="35">
        <f t="shared" si="2"/>
        <v>21323.35</v>
      </c>
      <c r="D32" s="10" t="str">
        <f t="shared" si="3"/>
        <v>vis</v>
      </c>
      <c r="E32" s="43">
        <f>VLOOKUP(C32,Active!C$21:E$973,3,FALSE)</f>
        <v>80.984778993478002</v>
      </c>
      <c r="F32" s="4" t="s">
        <v>63</v>
      </c>
      <c r="G32" s="10" t="str">
        <f t="shared" si="4"/>
        <v>21323.35</v>
      </c>
      <c r="H32" s="35">
        <f t="shared" si="5"/>
        <v>-4099</v>
      </c>
      <c r="I32" s="44" t="s">
        <v>101</v>
      </c>
      <c r="J32" s="45" t="s">
        <v>102</v>
      </c>
      <c r="K32" s="44">
        <v>-4099</v>
      </c>
      <c r="L32" s="44" t="s">
        <v>103</v>
      </c>
      <c r="M32" s="45" t="s">
        <v>74</v>
      </c>
      <c r="N32" s="45"/>
      <c r="O32" s="46" t="s">
        <v>75</v>
      </c>
      <c r="P32" s="46" t="s">
        <v>76</v>
      </c>
    </row>
    <row r="33" spans="1:16" ht="12.75" customHeight="1" thickBot="1" x14ac:dyDescent="0.25">
      <c r="A33" s="35" t="str">
        <f t="shared" si="0"/>
        <v> AN 214.4 </v>
      </c>
      <c r="B33" s="4" t="str">
        <f t="shared" si="1"/>
        <v>I</v>
      </c>
      <c r="C33" s="35">
        <f t="shared" si="2"/>
        <v>21361.49</v>
      </c>
      <c r="D33" s="10" t="str">
        <f t="shared" si="3"/>
        <v>vis</v>
      </c>
      <c r="E33" s="43">
        <f>VLOOKUP(C33,Active!C$21:E$973,3,FALSE)</f>
        <v>85.999153577777676</v>
      </c>
      <c r="F33" s="4" t="s">
        <v>63</v>
      </c>
      <c r="G33" s="10" t="str">
        <f t="shared" si="4"/>
        <v>21361.49</v>
      </c>
      <c r="H33" s="35">
        <f t="shared" si="5"/>
        <v>-4094</v>
      </c>
      <c r="I33" s="44" t="s">
        <v>104</v>
      </c>
      <c r="J33" s="45" t="s">
        <v>105</v>
      </c>
      <c r="K33" s="44">
        <v>-4094</v>
      </c>
      <c r="L33" s="44" t="s">
        <v>106</v>
      </c>
      <c r="M33" s="45" t="s">
        <v>74</v>
      </c>
      <c r="N33" s="45"/>
      <c r="O33" s="46" t="s">
        <v>75</v>
      </c>
      <c r="P33" s="46" t="s">
        <v>76</v>
      </c>
    </row>
    <row r="34" spans="1:16" ht="12.75" customHeight="1" thickBot="1" x14ac:dyDescent="0.25">
      <c r="A34" s="35" t="str">
        <f t="shared" si="0"/>
        <v> AN 214.4 </v>
      </c>
      <c r="B34" s="4" t="str">
        <f t="shared" si="1"/>
        <v>I</v>
      </c>
      <c r="C34" s="35">
        <f t="shared" si="2"/>
        <v>21399.4</v>
      </c>
      <c r="D34" s="10" t="str">
        <f t="shared" si="3"/>
        <v>vis</v>
      </c>
      <c r="E34" s="43">
        <f>VLOOKUP(C34,Active!C$21:E$973,3,FALSE)</f>
        <v>90.983289406062539</v>
      </c>
      <c r="F34" s="4" t="s">
        <v>63</v>
      </c>
      <c r="G34" s="10" t="str">
        <f t="shared" si="4"/>
        <v>21399.40</v>
      </c>
      <c r="H34" s="35">
        <f t="shared" si="5"/>
        <v>-4089</v>
      </c>
      <c r="I34" s="44" t="s">
        <v>107</v>
      </c>
      <c r="J34" s="45" t="s">
        <v>108</v>
      </c>
      <c r="K34" s="44">
        <v>-4089</v>
      </c>
      <c r="L34" s="44" t="s">
        <v>109</v>
      </c>
      <c r="M34" s="45" t="s">
        <v>74</v>
      </c>
      <c r="N34" s="45"/>
      <c r="O34" s="46" t="s">
        <v>75</v>
      </c>
      <c r="P34" s="46" t="s">
        <v>76</v>
      </c>
    </row>
    <row r="35" spans="1:16" ht="12.75" customHeight="1" thickBot="1" x14ac:dyDescent="0.25">
      <c r="A35" s="35" t="str">
        <f t="shared" si="0"/>
        <v> AN 214.4 </v>
      </c>
      <c r="B35" s="4" t="str">
        <f t="shared" si="1"/>
        <v>I</v>
      </c>
      <c r="C35" s="35">
        <f t="shared" si="2"/>
        <v>21422.44</v>
      </c>
      <c r="D35" s="10" t="str">
        <f t="shared" si="3"/>
        <v>vis</v>
      </c>
      <c r="E35" s="43">
        <f>VLOOKUP(C35,Active!C$21:E$973,3,FALSE)</f>
        <v>94.012423921590639</v>
      </c>
      <c r="F35" s="4" t="s">
        <v>63</v>
      </c>
      <c r="G35" s="10" t="str">
        <f t="shared" si="4"/>
        <v>21422.44</v>
      </c>
      <c r="H35" s="35">
        <f t="shared" si="5"/>
        <v>-4086</v>
      </c>
      <c r="I35" s="44" t="s">
        <v>110</v>
      </c>
      <c r="J35" s="45" t="s">
        <v>111</v>
      </c>
      <c r="K35" s="44">
        <v>-4086</v>
      </c>
      <c r="L35" s="44" t="s">
        <v>73</v>
      </c>
      <c r="M35" s="45" t="s">
        <v>74</v>
      </c>
      <c r="N35" s="45"/>
      <c r="O35" s="46" t="s">
        <v>75</v>
      </c>
      <c r="P35" s="46" t="s">
        <v>76</v>
      </c>
    </row>
    <row r="36" spans="1:16" ht="12.75" customHeight="1" thickBot="1" x14ac:dyDescent="0.25">
      <c r="A36" s="35" t="str">
        <f t="shared" si="0"/>
        <v> AN 214.4 </v>
      </c>
      <c r="B36" s="4" t="str">
        <f t="shared" si="1"/>
        <v>I</v>
      </c>
      <c r="C36" s="35">
        <f t="shared" si="2"/>
        <v>21460.38</v>
      </c>
      <c r="D36" s="10" t="str">
        <f t="shared" si="3"/>
        <v>vis</v>
      </c>
      <c r="E36" s="43">
        <f>VLOOKUP(C36,Active!C$21:E$973,3,FALSE)</f>
        <v>99.000503935442921</v>
      </c>
      <c r="F36" s="4" t="s">
        <v>63</v>
      </c>
      <c r="G36" s="10" t="str">
        <f t="shared" si="4"/>
        <v>21460.38</v>
      </c>
      <c r="H36" s="35">
        <f t="shared" si="5"/>
        <v>-4081</v>
      </c>
      <c r="I36" s="44" t="s">
        <v>112</v>
      </c>
      <c r="J36" s="45" t="s">
        <v>113</v>
      </c>
      <c r="K36" s="44">
        <v>-4081</v>
      </c>
      <c r="L36" s="44" t="s">
        <v>114</v>
      </c>
      <c r="M36" s="45" t="s">
        <v>74</v>
      </c>
      <c r="N36" s="45"/>
      <c r="O36" s="46" t="s">
        <v>75</v>
      </c>
      <c r="P36" s="46" t="s">
        <v>76</v>
      </c>
    </row>
    <row r="37" spans="1:16" ht="12.75" customHeight="1" thickBot="1" x14ac:dyDescent="0.25">
      <c r="A37" s="35" t="str">
        <f t="shared" si="0"/>
        <v> AN 214.4 </v>
      </c>
      <c r="B37" s="4" t="str">
        <f t="shared" si="1"/>
        <v>I</v>
      </c>
      <c r="C37" s="35">
        <f t="shared" si="2"/>
        <v>21483.21</v>
      </c>
      <c r="D37" s="10" t="str">
        <f t="shared" si="3"/>
        <v>vis</v>
      </c>
      <c r="E37" s="43">
        <f>VLOOKUP(C37,Active!C$21:E$973,3,FALSE)</f>
        <v>102.00202915200147</v>
      </c>
      <c r="F37" s="4" t="s">
        <v>63</v>
      </c>
      <c r="G37" s="10" t="str">
        <f t="shared" si="4"/>
        <v>21483.21</v>
      </c>
      <c r="H37" s="35">
        <f t="shared" si="5"/>
        <v>-4078</v>
      </c>
      <c r="I37" s="44" t="s">
        <v>115</v>
      </c>
      <c r="J37" s="45" t="s">
        <v>116</v>
      </c>
      <c r="K37" s="44">
        <v>-4078</v>
      </c>
      <c r="L37" s="44" t="s">
        <v>79</v>
      </c>
      <c r="M37" s="45" t="s">
        <v>74</v>
      </c>
      <c r="N37" s="45"/>
      <c r="O37" s="46" t="s">
        <v>75</v>
      </c>
      <c r="P37" s="46" t="s">
        <v>76</v>
      </c>
    </row>
    <row r="38" spans="1:16" ht="12.75" customHeight="1" thickBot="1" x14ac:dyDescent="0.25">
      <c r="A38" s="35" t="str">
        <f t="shared" si="0"/>
        <v> AN 214.4 </v>
      </c>
      <c r="B38" s="4" t="str">
        <f t="shared" si="1"/>
        <v>I</v>
      </c>
      <c r="C38" s="35">
        <f t="shared" si="2"/>
        <v>21498.400000000001</v>
      </c>
      <c r="D38" s="10" t="str">
        <f t="shared" si="3"/>
        <v>vis</v>
      </c>
      <c r="E38" s="43">
        <f>VLOOKUP(C38,Active!C$21:E$973,3,FALSE)</f>
        <v>103.99910177747387</v>
      </c>
      <c r="F38" s="4" t="s">
        <v>63</v>
      </c>
      <c r="G38" s="10" t="str">
        <f t="shared" si="4"/>
        <v>21498.40</v>
      </c>
      <c r="H38" s="35">
        <f t="shared" si="5"/>
        <v>-4076</v>
      </c>
      <c r="I38" s="44" t="s">
        <v>117</v>
      </c>
      <c r="J38" s="45" t="s">
        <v>118</v>
      </c>
      <c r="K38" s="44">
        <v>-4076</v>
      </c>
      <c r="L38" s="44" t="s">
        <v>106</v>
      </c>
      <c r="M38" s="45" t="s">
        <v>74</v>
      </c>
      <c r="N38" s="45"/>
      <c r="O38" s="46" t="s">
        <v>75</v>
      </c>
      <c r="P38" s="46" t="s">
        <v>76</v>
      </c>
    </row>
    <row r="39" spans="1:16" ht="12.75" customHeight="1" thickBot="1" x14ac:dyDescent="0.25">
      <c r="A39" s="35" t="str">
        <f t="shared" si="0"/>
        <v> AN 214.4 </v>
      </c>
      <c r="B39" s="4" t="str">
        <f t="shared" si="1"/>
        <v>I</v>
      </c>
      <c r="C39" s="35">
        <f t="shared" si="2"/>
        <v>21559.26</v>
      </c>
      <c r="D39" s="10" t="str">
        <f t="shared" si="3"/>
        <v>vis</v>
      </c>
      <c r="E39" s="43">
        <f>VLOOKUP(C39,Active!C$21:E$973,3,FALSE)</f>
        <v>112.00053956458554</v>
      </c>
      <c r="F39" s="4" t="s">
        <v>63</v>
      </c>
      <c r="G39" s="10" t="str">
        <f t="shared" si="4"/>
        <v>21559.26</v>
      </c>
      <c r="H39" s="35">
        <f t="shared" si="5"/>
        <v>-4068</v>
      </c>
      <c r="I39" s="44" t="s">
        <v>119</v>
      </c>
      <c r="J39" s="45" t="s">
        <v>120</v>
      </c>
      <c r="K39" s="44">
        <v>-4068</v>
      </c>
      <c r="L39" s="44" t="s">
        <v>114</v>
      </c>
      <c r="M39" s="45" t="s">
        <v>74</v>
      </c>
      <c r="N39" s="45"/>
      <c r="O39" s="46" t="s">
        <v>75</v>
      </c>
      <c r="P39" s="46" t="s">
        <v>76</v>
      </c>
    </row>
    <row r="40" spans="1:16" ht="12.75" customHeight="1" thickBot="1" x14ac:dyDescent="0.25">
      <c r="A40" s="35" t="str">
        <f t="shared" si="0"/>
        <v> AN 214.4 </v>
      </c>
      <c r="B40" s="4" t="str">
        <f t="shared" si="1"/>
        <v>I</v>
      </c>
      <c r="C40" s="35">
        <f t="shared" si="2"/>
        <v>21688.5</v>
      </c>
      <c r="D40" s="10" t="str">
        <f t="shared" si="3"/>
        <v>vis</v>
      </c>
      <c r="E40" s="43">
        <f>VLOOKUP(C40,Active!C$21:E$973,3,FALSE)</f>
        <v>128.99209098762819</v>
      </c>
      <c r="F40" s="4" t="s">
        <v>63</v>
      </c>
      <c r="G40" s="10" t="str">
        <f t="shared" si="4"/>
        <v>21688.50</v>
      </c>
      <c r="H40" s="35">
        <f t="shared" si="5"/>
        <v>-4051</v>
      </c>
      <c r="I40" s="44" t="s">
        <v>121</v>
      </c>
      <c r="J40" s="45" t="s">
        <v>122</v>
      </c>
      <c r="K40" s="44">
        <v>-4051</v>
      </c>
      <c r="L40" s="44" t="s">
        <v>97</v>
      </c>
      <c r="M40" s="45" t="s">
        <v>74</v>
      </c>
      <c r="N40" s="45"/>
      <c r="O40" s="46" t="s">
        <v>75</v>
      </c>
      <c r="P40" s="46" t="s">
        <v>76</v>
      </c>
    </row>
    <row r="41" spans="1:16" ht="12.75" customHeight="1" thickBot="1" x14ac:dyDescent="0.25">
      <c r="A41" s="35" t="str">
        <f t="shared" si="0"/>
        <v> AN 214.4 </v>
      </c>
      <c r="B41" s="4" t="str">
        <f t="shared" si="1"/>
        <v>I</v>
      </c>
      <c r="C41" s="35">
        <f t="shared" si="2"/>
        <v>21749.360000000001</v>
      </c>
      <c r="D41" s="10" t="str">
        <f t="shared" si="3"/>
        <v>vis</v>
      </c>
      <c r="E41" s="43">
        <f>VLOOKUP(C41,Active!C$21:E$973,3,FALSE)</f>
        <v>136.9935287747403</v>
      </c>
      <c r="F41" s="4" t="s">
        <v>63</v>
      </c>
      <c r="G41" s="10" t="str">
        <f t="shared" si="4"/>
        <v>21749.36</v>
      </c>
      <c r="H41" s="35">
        <f t="shared" si="5"/>
        <v>-4043</v>
      </c>
      <c r="I41" s="44" t="s">
        <v>123</v>
      </c>
      <c r="J41" s="45" t="s">
        <v>124</v>
      </c>
      <c r="K41" s="44">
        <v>-4043</v>
      </c>
      <c r="L41" s="44" t="s">
        <v>125</v>
      </c>
      <c r="M41" s="45" t="s">
        <v>74</v>
      </c>
      <c r="N41" s="45"/>
      <c r="O41" s="46" t="s">
        <v>75</v>
      </c>
      <c r="P41" s="46" t="s">
        <v>76</v>
      </c>
    </row>
    <row r="42" spans="1:16" ht="12.75" customHeight="1" thickBot="1" x14ac:dyDescent="0.25">
      <c r="A42" s="35" t="str">
        <f t="shared" si="0"/>
        <v> AN 214.4 </v>
      </c>
      <c r="B42" s="4" t="str">
        <f t="shared" si="1"/>
        <v>I</v>
      </c>
      <c r="C42" s="35">
        <f t="shared" si="2"/>
        <v>21787.5</v>
      </c>
      <c r="D42" s="10" t="str">
        <f t="shared" si="3"/>
        <v>vis</v>
      </c>
      <c r="E42" s="43">
        <f>VLOOKUP(C42,Active!C$21:E$973,3,FALSE)</f>
        <v>142.00790335903952</v>
      </c>
      <c r="F42" s="4" t="s">
        <v>63</v>
      </c>
      <c r="G42" s="10" t="str">
        <f t="shared" si="4"/>
        <v>21787.50</v>
      </c>
      <c r="H42" s="35">
        <f t="shared" si="5"/>
        <v>-4038</v>
      </c>
      <c r="I42" s="44" t="s">
        <v>126</v>
      </c>
      <c r="J42" s="45" t="s">
        <v>127</v>
      </c>
      <c r="K42" s="44">
        <v>-4038</v>
      </c>
      <c r="L42" s="44" t="s">
        <v>128</v>
      </c>
      <c r="M42" s="45" t="s">
        <v>74</v>
      </c>
      <c r="N42" s="45"/>
      <c r="O42" s="46" t="s">
        <v>75</v>
      </c>
      <c r="P42" s="46" t="s">
        <v>76</v>
      </c>
    </row>
    <row r="43" spans="1:16" ht="12.75" customHeight="1" thickBot="1" x14ac:dyDescent="0.25">
      <c r="A43" s="35" t="str">
        <f t="shared" si="0"/>
        <v> AN 259.189 </v>
      </c>
      <c r="B43" s="4" t="str">
        <f t="shared" si="1"/>
        <v>I</v>
      </c>
      <c r="C43" s="35">
        <f t="shared" si="2"/>
        <v>27636.478999999999</v>
      </c>
      <c r="D43" s="10" t="str">
        <f t="shared" si="3"/>
        <v>vis</v>
      </c>
      <c r="E43" s="43">
        <f>VLOOKUP(C43,Active!C$21:E$973,3,FALSE)</f>
        <v>910.98985516030302</v>
      </c>
      <c r="F43" s="4" t="s">
        <v>63</v>
      </c>
      <c r="G43" s="10" t="str">
        <f t="shared" si="4"/>
        <v>27636.479</v>
      </c>
      <c r="H43" s="35">
        <f t="shared" si="5"/>
        <v>-3269</v>
      </c>
      <c r="I43" s="44" t="s">
        <v>129</v>
      </c>
      <c r="J43" s="45" t="s">
        <v>130</v>
      </c>
      <c r="K43" s="44">
        <v>-3269</v>
      </c>
      <c r="L43" s="44" t="s">
        <v>131</v>
      </c>
      <c r="M43" s="45" t="s">
        <v>74</v>
      </c>
      <c r="N43" s="45"/>
      <c r="O43" s="46" t="s">
        <v>132</v>
      </c>
      <c r="P43" s="46" t="s">
        <v>133</v>
      </c>
    </row>
    <row r="44" spans="1:16" ht="12.75" customHeight="1" thickBot="1" x14ac:dyDescent="0.25">
      <c r="A44" s="35" t="str">
        <f t="shared" si="0"/>
        <v> AN 259.189 </v>
      </c>
      <c r="B44" s="4" t="str">
        <f t="shared" si="1"/>
        <v>I</v>
      </c>
      <c r="C44" s="35">
        <f t="shared" si="2"/>
        <v>27659.407999999999</v>
      </c>
      <c r="D44" s="10" t="str">
        <f t="shared" si="3"/>
        <v>vis</v>
      </c>
      <c r="E44" s="43">
        <f>VLOOKUP(C44,Active!C$21:E$973,3,FALSE)</f>
        <v>914.00439618923315</v>
      </c>
      <c r="F44" s="4" t="s">
        <v>63</v>
      </c>
      <c r="G44" s="10" t="str">
        <f t="shared" si="4"/>
        <v>27659.408</v>
      </c>
      <c r="H44" s="35">
        <f t="shared" si="5"/>
        <v>-3266</v>
      </c>
      <c r="I44" s="44" t="s">
        <v>134</v>
      </c>
      <c r="J44" s="45" t="s">
        <v>135</v>
      </c>
      <c r="K44" s="44">
        <v>-3266</v>
      </c>
      <c r="L44" s="44" t="s">
        <v>136</v>
      </c>
      <c r="M44" s="45" t="s">
        <v>74</v>
      </c>
      <c r="N44" s="45"/>
      <c r="O44" s="46" t="s">
        <v>132</v>
      </c>
      <c r="P44" s="46" t="s">
        <v>133</v>
      </c>
    </row>
    <row r="45" spans="1:16" ht="12.75" customHeight="1" thickBot="1" x14ac:dyDescent="0.25">
      <c r="A45" s="35" t="str">
        <f t="shared" si="0"/>
        <v> AN 259.189 </v>
      </c>
      <c r="B45" s="4" t="str">
        <f t="shared" si="1"/>
        <v>I</v>
      </c>
      <c r="C45" s="35">
        <f t="shared" si="2"/>
        <v>27697.397000000001</v>
      </c>
      <c r="D45" s="10" t="str">
        <f t="shared" si="3"/>
        <v>vis</v>
      </c>
      <c r="E45" s="43">
        <f>VLOOKUP(C45,Active!C$21:E$973,3,FALSE)</f>
        <v>918.99891837284497</v>
      </c>
      <c r="F45" s="4" t="s">
        <v>63</v>
      </c>
      <c r="G45" s="10" t="str">
        <f t="shared" si="4"/>
        <v>27697.397</v>
      </c>
      <c r="H45" s="35">
        <f t="shared" si="5"/>
        <v>-3261</v>
      </c>
      <c r="I45" s="44" t="s">
        <v>137</v>
      </c>
      <c r="J45" s="45" t="s">
        <v>138</v>
      </c>
      <c r="K45" s="44">
        <v>-3261</v>
      </c>
      <c r="L45" s="44" t="s">
        <v>139</v>
      </c>
      <c r="M45" s="45" t="s">
        <v>74</v>
      </c>
      <c r="N45" s="45"/>
      <c r="O45" s="46" t="s">
        <v>132</v>
      </c>
      <c r="P45" s="46" t="s">
        <v>133</v>
      </c>
    </row>
    <row r="46" spans="1:16" ht="12.75" customHeight="1" thickBot="1" x14ac:dyDescent="0.25">
      <c r="A46" s="35" t="str">
        <f t="shared" si="0"/>
        <v> AN 259.189 </v>
      </c>
      <c r="B46" s="4" t="str">
        <f t="shared" si="1"/>
        <v>I</v>
      </c>
      <c r="C46" s="35">
        <f t="shared" si="2"/>
        <v>27925.594000000001</v>
      </c>
      <c r="D46" s="10" t="str">
        <f t="shared" si="3"/>
        <v>vis</v>
      </c>
      <c r="E46" s="43">
        <f>VLOOKUP(C46,Active!C$21:E$973,3,FALSE)</f>
        <v>949.0006288346525</v>
      </c>
      <c r="F46" s="4" t="s">
        <v>63</v>
      </c>
      <c r="G46" s="10" t="str">
        <f t="shared" si="4"/>
        <v>27925.594</v>
      </c>
      <c r="H46" s="35">
        <f t="shared" si="5"/>
        <v>-3231</v>
      </c>
      <c r="I46" s="44" t="s">
        <v>140</v>
      </c>
      <c r="J46" s="45" t="s">
        <v>141</v>
      </c>
      <c r="K46" s="44">
        <v>-3231</v>
      </c>
      <c r="L46" s="44" t="s">
        <v>142</v>
      </c>
      <c r="M46" s="45" t="s">
        <v>74</v>
      </c>
      <c r="N46" s="45"/>
      <c r="O46" s="46" t="s">
        <v>132</v>
      </c>
      <c r="P46" s="46" t="s">
        <v>133</v>
      </c>
    </row>
    <row r="47" spans="1:16" ht="12.75" customHeight="1" thickBot="1" x14ac:dyDescent="0.25">
      <c r="A47" s="35" t="str">
        <f t="shared" si="0"/>
        <v> AN 259.189 </v>
      </c>
      <c r="B47" s="4" t="str">
        <f t="shared" si="1"/>
        <v>I</v>
      </c>
      <c r="C47" s="35">
        <f t="shared" si="2"/>
        <v>27948.366999999998</v>
      </c>
      <c r="D47" s="10" t="str">
        <f t="shared" si="3"/>
        <v>vis</v>
      </c>
      <c r="E47" s="43">
        <f>VLOOKUP(C47,Active!C$21:E$973,3,FALSE)</f>
        <v>951.99466009863352</v>
      </c>
      <c r="F47" s="4" t="s">
        <v>63</v>
      </c>
      <c r="G47" s="10" t="str">
        <f t="shared" si="4"/>
        <v>27948.367</v>
      </c>
      <c r="H47" s="35">
        <f t="shared" si="5"/>
        <v>-3228</v>
      </c>
      <c r="I47" s="44" t="s">
        <v>143</v>
      </c>
      <c r="J47" s="45" t="s">
        <v>144</v>
      </c>
      <c r="K47" s="44">
        <v>-3228</v>
      </c>
      <c r="L47" s="44" t="s">
        <v>145</v>
      </c>
      <c r="M47" s="45" t="s">
        <v>74</v>
      </c>
      <c r="N47" s="45"/>
      <c r="O47" s="46" t="s">
        <v>132</v>
      </c>
      <c r="P47" s="46" t="s">
        <v>133</v>
      </c>
    </row>
    <row r="48" spans="1:16" ht="12.75" customHeight="1" thickBot="1" x14ac:dyDescent="0.25">
      <c r="A48" s="35" t="str">
        <f t="shared" si="0"/>
        <v> AN 259.189 </v>
      </c>
      <c r="B48" s="4" t="str">
        <f t="shared" si="1"/>
        <v>I</v>
      </c>
      <c r="C48" s="35">
        <f t="shared" si="2"/>
        <v>28062.478999999999</v>
      </c>
      <c r="D48" s="10" t="str">
        <f t="shared" si="3"/>
        <v>vis</v>
      </c>
      <c r="E48" s="43">
        <f>VLOOKUP(C48,Active!C$21:E$973,3,FALSE)</f>
        <v>966.99729021304267</v>
      </c>
      <c r="F48" s="4" t="s">
        <v>63</v>
      </c>
      <c r="G48" s="10" t="str">
        <f t="shared" si="4"/>
        <v>28062.479</v>
      </c>
      <c r="H48" s="35">
        <f t="shared" si="5"/>
        <v>-3213</v>
      </c>
      <c r="I48" s="44" t="s">
        <v>146</v>
      </c>
      <c r="J48" s="45" t="s">
        <v>147</v>
      </c>
      <c r="K48" s="44">
        <v>-3213</v>
      </c>
      <c r="L48" s="44" t="s">
        <v>148</v>
      </c>
      <c r="M48" s="45" t="s">
        <v>74</v>
      </c>
      <c r="N48" s="45"/>
      <c r="O48" s="46" t="s">
        <v>132</v>
      </c>
      <c r="P48" s="46" t="s">
        <v>133</v>
      </c>
    </row>
    <row r="49" spans="1:16" ht="12.75" customHeight="1" thickBot="1" x14ac:dyDescent="0.25">
      <c r="A49" s="35" t="str">
        <f t="shared" si="0"/>
        <v> AN 259.189 </v>
      </c>
      <c r="B49" s="4" t="str">
        <f t="shared" si="1"/>
        <v>I</v>
      </c>
      <c r="C49" s="35">
        <f t="shared" si="2"/>
        <v>28108.103999999999</v>
      </c>
      <c r="D49" s="10" t="str">
        <f t="shared" si="3"/>
        <v>vis</v>
      </c>
      <c r="E49" s="43">
        <f>VLOOKUP(C49,Active!C$21:E$973,3,FALSE)</f>
        <v>972.99573909633193</v>
      </c>
      <c r="F49" s="4" t="s">
        <v>63</v>
      </c>
      <c r="G49" s="10" t="str">
        <f t="shared" si="4"/>
        <v>28108.104</v>
      </c>
      <c r="H49" s="35">
        <f t="shared" si="5"/>
        <v>-3207</v>
      </c>
      <c r="I49" s="44" t="s">
        <v>149</v>
      </c>
      <c r="J49" s="45" t="s">
        <v>150</v>
      </c>
      <c r="K49" s="44">
        <v>-3207</v>
      </c>
      <c r="L49" s="44" t="s">
        <v>151</v>
      </c>
      <c r="M49" s="45" t="s">
        <v>74</v>
      </c>
      <c r="N49" s="45"/>
      <c r="O49" s="46" t="s">
        <v>132</v>
      </c>
      <c r="P49" s="46" t="s">
        <v>133</v>
      </c>
    </row>
    <row r="50" spans="1:16" ht="12.75" customHeight="1" thickBot="1" x14ac:dyDescent="0.25">
      <c r="A50" s="35" t="str">
        <f t="shared" si="0"/>
        <v> HA 113.69 </v>
      </c>
      <c r="B50" s="4" t="str">
        <f t="shared" si="1"/>
        <v>I</v>
      </c>
      <c r="C50" s="35">
        <f t="shared" si="2"/>
        <v>29971.61</v>
      </c>
      <c r="D50" s="10" t="str">
        <f t="shared" si="3"/>
        <v>vis</v>
      </c>
      <c r="E50" s="43">
        <f>VLOOKUP(C50,Active!C$21:E$973,3,FALSE)</f>
        <v>1217.9961880761225</v>
      </c>
      <c r="F50" s="4" t="s">
        <v>63</v>
      </c>
      <c r="G50" s="10" t="str">
        <f t="shared" si="4"/>
        <v>29971.610</v>
      </c>
      <c r="H50" s="35">
        <f t="shared" si="5"/>
        <v>-2962</v>
      </c>
      <c r="I50" s="44" t="s">
        <v>152</v>
      </c>
      <c r="J50" s="45" t="s">
        <v>153</v>
      </c>
      <c r="K50" s="44">
        <v>-2962</v>
      </c>
      <c r="L50" s="44" t="s">
        <v>151</v>
      </c>
      <c r="M50" s="45" t="s">
        <v>65</v>
      </c>
      <c r="N50" s="45"/>
      <c r="O50" s="46" t="s">
        <v>154</v>
      </c>
      <c r="P50" s="46" t="s">
        <v>155</v>
      </c>
    </row>
    <row r="51" spans="1:16" ht="12.75" customHeight="1" thickBot="1" x14ac:dyDescent="0.25">
      <c r="A51" s="35" t="str">
        <f t="shared" si="0"/>
        <v> AA 30.397 </v>
      </c>
      <c r="B51" s="4" t="str">
        <f t="shared" si="1"/>
        <v>I</v>
      </c>
      <c r="C51" s="35">
        <f t="shared" si="2"/>
        <v>40741.927000000003</v>
      </c>
      <c r="D51" s="10" t="str">
        <f t="shared" si="3"/>
        <v>vis</v>
      </c>
      <c r="E51" s="43">
        <f>VLOOKUP(C51,Active!C$21:E$973,3,FALSE)</f>
        <v>2634.0004835571513</v>
      </c>
      <c r="F51" s="4" t="s">
        <v>63</v>
      </c>
      <c r="G51" s="10" t="str">
        <f t="shared" si="4"/>
        <v>40741.927</v>
      </c>
      <c r="H51" s="35">
        <f t="shared" si="5"/>
        <v>-1546</v>
      </c>
      <c r="I51" s="44" t="s">
        <v>156</v>
      </c>
      <c r="J51" s="45" t="s">
        <v>157</v>
      </c>
      <c r="K51" s="44">
        <v>-1546</v>
      </c>
      <c r="L51" s="44" t="s">
        <v>158</v>
      </c>
      <c r="M51" s="45" t="s">
        <v>159</v>
      </c>
      <c r="N51" s="45" t="s">
        <v>160</v>
      </c>
      <c r="O51" s="46" t="s">
        <v>161</v>
      </c>
      <c r="P51" s="46" t="s">
        <v>162</v>
      </c>
    </row>
    <row r="52" spans="1:16" ht="12.75" customHeight="1" thickBot="1" x14ac:dyDescent="0.25">
      <c r="A52" s="35" t="str">
        <f t="shared" si="0"/>
        <v> AA 30.397 </v>
      </c>
      <c r="B52" s="4" t="str">
        <f t="shared" si="1"/>
        <v>I</v>
      </c>
      <c r="C52" s="35">
        <f t="shared" si="2"/>
        <v>42506.563999999998</v>
      </c>
      <c r="D52" s="10" t="str">
        <f t="shared" si="3"/>
        <v>vis</v>
      </c>
      <c r="E52" s="43">
        <f>VLOOKUP(C52,Active!C$21:E$973,3,FALSE)</f>
        <v>2866.0023431091727</v>
      </c>
      <c r="F52" s="4" t="s">
        <v>63</v>
      </c>
      <c r="G52" s="10" t="str">
        <f t="shared" si="4"/>
        <v>42506.564</v>
      </c>
      <c r="H52" s="35">
        <f t="shared" si="5"/>
        <v>-1314</v>
      </c>
      <c r="I52" s="44" t="s">
        <v>163</v>
      </c>
      <c r="J52" s="45" t="s">
        <v>164</v>
      </c>
      <c r="K52" s="44">
        <v>-1314</v>
      </c>
      <c r="L52" s="44" t="s">
        <v>165</v>
      </c>
      <c r="M52" s="45" t="s">
        <v>159</v>
      </c>
      <c r="N52" s="45" t="s">
        <v>160</v>
      </c>
      <c r="O52" s="46" t="s">
        <v>161</v>
      </c>
      <c r="P52" s="46" t="s">
        <v>162</v>
      </c>
    </row>
    <row r="53" spans="1:16" ht="12.75" customHeight="1" thickBot="1" x14ac:dyDescent="0.25">
      <c r="A53" s="35" t="str">
        <f t="shared" si="0"/>
        <v> AA 30.397 </v>
      </c>
      <c r="B53" s="4" t="str">
        <f t="shared" si="1"/>
        <v>I</v>
      </c>
      <c r="C53" s="35">
        <f t="shared" si="2"/>
        <v>42947.71</v>
      </c>
      <c r="D53" s="10" t="str">
        <f t="shared" si="3"/>
        <v>vis</v>
      </c>
      <c r="E53" s="43">
        <f>VLOOKUP(C53,Active!C$21:E$973,3,FALSE)</f>
        <v>2924.0010659818859</v>
      </c>
      <c r="F53" s="4" t="s">
        <v>63</v>
      </c>
      <c r="G53" s="10" t="str">
        <f t="shared" si="4"/>
        <v>42947.710</v>
      </c>
      <c r="H53" s="35">
        <f t="shared" si="5"/>
        <v>-1256</v>
      </c>
      <c r="I53" s="44" t="s">
        <v>166</v>
      </c>
      <c r="J53" s="45" t="s">
        <v>167</v>
      </c>
      <c r="K53" s="44">
        <v>-1256</v>
      </c>
      <c r="L53" s="44" t="s">
        <v>158</v>
      </c>
      <c r="M53" s="45" t="s">
        <v>74</v>
      </c>
      <c r="N53" s="45"/>
      <c r="O53" s="46" t="s">
        <v>161</v>
      </c>
      <c r="P53" s="46" t="s">
        <v>162</v>
      </c>
    </row>
    <row r="54" spans="1:16" ht="12.75" customHeight="1" thickBot="1" x14ac:dyDescent="0.25">
      <c r="A54" s="35" t="str">
        <f t="shared" si="0"/>
        <v> AA 30.397 </v>
      </c>
      <c r="B54" s="4" t="str">
        <f t="shared" si="1"/>
        <v>I</v>
      </c>
      <c r="C54" s="35">
        <f t="shared" si="2"/>
        <v>43274.769</v>
      </c>
      <c r="D54" s="10" t="str">
        <f t="shared" si="3"/>
        <v>vis</v>
      </c>
      <c r="E54" s="43">
        <f>VLOOKUP(C54,Active!C$21:E$973,3,FALSE)</f>
        <v>2967.0004455614967</v>
      </c>
      <c r="F54" s="4" t="s">
        <v>63</v>
      </c>
      <c r="G54" s="10" t="str">
        <f t="shared" si="4"/>
        <v>43274.769</v>
      </c>
      <c r="H54" s="35">
        <f t="shared" si="5"/>
        <v>-1213</v>
      </c>
      <c r="I54" s="44" t="s">
        <v>168</v>
      </c>
      <c r="J54" s="45" t="s">
        <v>169</v>
      </c>
      <c r="K54" s="44">
        <v>-1213</v>
      </c>
      <c r="L54" s="44" t="s">
        <v>170</v>
      </c>
      <c r="M54" s="45" t="s">
        <v>159</v>
      </c>
      <c r="N54" s="45" t="s">
        <v>160</v>
      </c>
      <c r="O54" s="46" t="s">
        <v>161</v>
      </c>
      <c r="P54" s="46" t="s">
        <v>162</v>
      </c>
    </row>
    <row r="55" spans="1:16" ht="12.75" customHeight="1" thickBot="1" x14ac:dyDescent="0.25">
      <c r="A55" s="35" t="str">
        <f t="shared" si="0"/>
        <v> AJ 88.1257 </v>
      </c>
      <c r="B55" s="4" t="str">
        <f t="shared" si="1"/>
        <v>I</v>
      </c>
      <c r="C55" s="35">
        <f t="shared" si="2"/>
        <v>44332.033499999998</v>
      </c>
      <c r="D55" s="10" t="str">
        <f t="shared" si="3"/>
        <v>vis</v>
      </c>
      <c r="E55" s="43">
        <f>VLOOKUP(C55,Active!C$21:E$973,3,FALSE)</f>
        <v>3106.0020249448703</v>
      </c>
      <c r="F55" s="4" t="s">
        <v>63</v>
      </c>
      <c r="G55" s="10" t="str">
        <f t="shared" si="4"/>
        <v>44332.0335</v>
      </c>
      <c r="H55" s="35">
        <f t="shared" si="5"/>
        <v>-1074</v>
      </c>
      <c r="I55" s="44" t="s">
        <v>171</v>
      </c>
      <c r="J55" s="45" t="s">
        <v>172</v>
      </c>
      <c r="K55" s="44">
        <v>-1074</v>
      </c>
      <c r="L55" s="44" t="s">
        <v>173</v>
      </c>
      <c r="M55" s="45" t="s">
        <v>159</v>
      </c>
      <c r="N55" s="45" t="s">
        <v>160</v>
      </c>
      <c r="O55" s="46" t="s">
        <v>174</v>
      </c>
      <c r="P55" s="46" t="s">
        <v>175</v>
      </c>
    </row>
    <row r="56" spans="1:16" ht="12.75" customHeight="1" thickBot="1" x14ac:dyDescent="0.25">
      <c r="A56" s="35" t="str">
        <f t="shared" si="0"/>
        <v> VSSC 60.18 </v>
      </c>
      <c r="B56" s="4" t="str">
        <f t="shared" si="1"/>
        <v>I</v>
      </c>
      <c r="C56" s="35">
        <f t="shared" si="2"/>
        <v>45077.39</v>
      </c>
      <c r="D56" s="10" t="str">
        <f t="shared" si="3"/>
        <v>vis</v>
      </c>
      <c r="E56" s="43">
        <f>VLOOKUP(C56,Active!C$21:E$973,3,FALSE)</f>
        <v>3203.9961699328687</v>
      </c>
      <c r="F56" s="4" t="s">
        <v>63</v>
      </c>
      <c r="G56" s="10" t="str">
        <f t="shared" si="4"/>
        <v>45077.39</v>
      </c>
      <c r="H56" s="35">
        <f t="shared" si="5"/>
        <v>-976</v>
      </c>
      <c r="I56" s="44" t="s">
        <v>176</v>
      </c>
      <c r="J56" s="45" t="s">
        <v>177</v>
      </c>
      <c r="K56" s="44">
        <v>-976</v>
      </c>
      <c r="L56" s="44" t="s">
        <v>178</v>
      </c>
      <c r="M56" s="45" t="s">
        <v>74</v>
      </c>
      <c r="N56" s="45"/>
      <c r="O56" s="46" t="s">
        <v>179</v>
      </c>
      <c r="P56" s="46" t="s">
        <v>180</v>
      </c>
    </row>
    <row r="57" spans="1:16" ht="12.75" customHeight="1" thickBot="1" x14ac:dyDescent="0.25">
      <c r="A57" s="35" t="str">
        <f t="shared" si="0"/>
        <v>BAVM 241 (=IBVS 6157) </v>
      </c>
      <c r="B57" s="4" t="str">
        <f t="shared" si="1"/>
        <v>II</v>
      </c>
      <c r="C57" s="35">
        <f t="shared" si="2"/>
        <v>57106.529600000002</v>
      </c>
      <c r="D57" s="10" t="str">
        <f t="shared" si="3"/>
        <v>vis</v>
      </c>
      <c r="E57" s="43">
        <f>VLOOKUP(C57,Active!C$21:E$973,3,FALSE)</f>
        <v>4785.5014630956366</v>
      </c>
      <c r="F57" s="4" t="s">
        <v>63</v>
      </c>
      <c r="G57" s="10" t="str">
        <f t="shared" si="4"/>
        <v>57106.5296</v>
      </c>
      <c r="H57" s="35">
        <f t="shared" si="5"/>
        <v>605.5</v>
      </c>
      <c r="I57" s="44" t="s">
        <v>230</v>
      </c>
      <c r="J57" s="45" t="s">
        <v>231</v>
      </c>
      <c r="K57" s="44" t="s">
        <v>232</v>
      </c>
      <c r="L57" s="44" t="s">
        <v>233</v>
      </c>
      <c r="M57" s="45" t="s">
        <v>199</v>
      </c>
      <c r="N57" s="45" t="s">
        <v>200</v>
      </c>
      <c r="O57" s="46" t="s">
        <v>194</v>
      </c>
      <c r="P57" s="47" t="s">
        <v>234</v>
      </c>
    </row>
    <row r="58" spans="1:16" x14ac:dyDescent="0.2">
      <c r="B58" s="4"/>
      <c r="F58" s="4"/>
    </row>
    <row r="59" spans="1:16" x14ac:dyDescent="0.2">
      <c r="B59" s="4"/>
      <c r="F59" s="4"/>
    </row>
    <row r="60" spans="1:16" x14ac:dyDescent="0.2">
      <c r="B60" s="4"/>
      <c r="F60" s="4"/>
    </row>
    <row r="61" spans="1:16" x14ac:dyDescent="0.2">
      <c r="B61" s="4"/>
      <c r="F61" s="4"/>
    </row>
    <row r="62" spans="1:16" x14ac:dyDescent="0.2">
      <c r="B62" s="4"/>
      <c r="F62" s="4"/>
    </row>
    <row r="63" spans="1:16" x14ac:dyDescent="0.2">
      <c r="B63" s="4"/>
      <c r="F63" s="4"/>
    </row>
    <row r="64" spans="1:1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</sheetData>
  <phoneticPr fontId="8" type="noConversion"/>
  <hyperlinks>
    <hyperlink ref="A3" r:id="rId1"/>
    <hyperlink ref="P14" r:id="rId2" display="http://www.bav-astro.de/sfs/BAVM_link.php?BAVMnr=158"/>
    <hyperlink ref="P15" r:id="rId3" display="http://www.bav-astro.de/sfs/BAVM_link.php?BAVMnr=178"/>
    <hyperlink ref="P16" r:id="rId4" display="http://www.aavso.org/sites/default/files/jaavso/v36n2/186.pdf"/>
    <hyperlink ref="P17" r:id="rId5" display="http://www.aavso.org/sites/default/files/jaavso/v36n2/186.pdf"/>
    <hyperlink ref="P18" r:id="rId6" display="http://www.bav-astro.de/sfs/BAVM_link.php?BAVMnr=201"/>
    <hyperlink ref="P20" r:id="rId7" display="http://www.bav-astro.de/sfs/BAVM_link.php?BAVMnr=228"/>
    <hyperlink ref="P57" r:id="rId8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2024-01-15T05:10:24Z</dcterms:modified>
</cp:coreProperties>
</file>