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0F6A93AA-B1AC-43D8-B9E2-36866F1F146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E24" i="1"/>
  <c r="F24" i="1"/>
  <c r="G24" i="1"/>
  <c r="Q22" i="1"/>
  <c r="K23" i="1"/>
  <c r="Q23" i="1"/>
  <c r="K24" i="1"/>
  <c r="Q24" i="1"/>
  <c r="C9" i="1"/>
  <c r="E21" i="1"/>
  <c r="F21" i="1"/>
  <c r="G21" i="1"/>
  <c r="I21" i="1"/>
  <c r="D9" i="1"/>
  <c r="F16" i="1"/>
  <c r="C17" i="1"/>
  <c r="Q21" i="1"/>
  <c r="C12" i="1"/>
  <c r="C11" i="1"/>
  <c r="O22" i="1" l="1"/>
  <c r="O24" i="1"/>
  <c r="O23" i="1"/>
  <c r="O21" i="1"/>
  <c r="C15" i="1"/>
  <c r="F18" i="1" s="1"/>
  <c r="C16" i="1"/>
  <c r="D18" i="1" s="1"/>
  <c r="F17" i="1"/>
  <c r="C18" i="1" l="1"/>
  <c r="F19" i="1"/>
</calcChain>
</file>

<file path=xl/sharedStrings.xml><?xml version="1.0" encoding="utf-8"?>
<sst xmlns="http://schemas.openxmlformats.org/spreadsheetml/2006/main" count="60" uniqueCount="53">
  <si>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</si>
  <si>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</si>
  <si>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</si>
  <si>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</si>
  <si>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</si>
  <si>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</si>
  <si>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</si>
  <si>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</si>
  <si>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</si>
  <si>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</si>
  <si>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</si>
  <si>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</si>
  <si>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</si>
  <si>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</si>
  <si>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</si>
  <si>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</si>
  <si>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</si>
  <si>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</si>
  <si>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</si>
  <si>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</si>
  <si>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</si>
  <si>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</si>
  <si>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</si>
  <si>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</si>
  <si>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</si>
  <si>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</si>
  <si>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</si>
  <si>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</si>
  <si>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</si>
  <si>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</si>
  <si>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</si>
  <si>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</si>
  <si>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</si>
  <si>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</si>
  <si>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</si>
  <si>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</si>
  <si>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</si>
  <si>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</si>
  <si>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</si>
  <si>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</si>
  <si>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</si>
  <si>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V0361 Boo</t>
  </si>
  <si>
    <t>2014A</t>
  </si>
  <si>
    <t>G3039-0747</t>
  </si>
  <si>
    <t>EW</t>
  </si>
  <si>
    <t>V0361 Boo / GSC 3039-0747</t>
  </si>
  <si>
    <t>as of 2021-06-08</t>
  </si>
  <si>
    <t>VSZ</t>
  </si>
  <si>
    <t>GCVS</t>
  </si>
  <si>
    <t>VSB 067</t>
  </si>
  <si>
    <t>I</t>
  </si>
  <si>
    <t>V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</si>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</sst>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172" fontId="5" fillId="0" borderId="1" xfId="0" applyNumberFormat="1" applyFont="1" applyBorder="1" applyAlignment="1">
      <alignment horizontal="left" vertical="center"/>
    </xf>
    <xf numFmtId="172" fontId="16" fillId="0" borderId="1" xfId="0" applyNumberFormat="1" applyFont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8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V0361 Boo - O-C Diagr.</a:t>
            </a:r>
          </a:p>
        </c:rich>
      </c:tx>
      <c:layout>
        <c:manualLayout>
          <c:xMode val="edge"/>
          <c:yMode val="edge"/>
          <c:x val="0.3654135338345864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9523</c:v>
                </c:pt>
                <c:pt idx="2">
                  <c:v>24384</c:v>
                </c:pt>
                <c:pt idx="3">
                  <c:v>24383.5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03-46A0-9204-25186A4285F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9523</c:v>
                </c:pt>
                <c:pt idx="2">
                  <c:v>24384</c:v>
                </c:pt>
                <c:pt idx="3">
                  <c:v>24383.5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-3.795199999876786E-2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03-46A0-9204-25186A4285F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9523</c:v>
                </c:pt>
                <c:pt idx="2">
                  <c:v>24384</c:v>
                </c:pt>
                <c:pt idx="3">
                  <c:v>24383.5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03-46A0-9204-25186A4285F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9523</c:v>
                </c:pt>
                <c:pt idx="2">
                  <c:v>24384</c:v>
                </c:pt>
                <c:pt idx="3">
                  <c:v>24383.5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6.2983999996504281E-2</c:v>
                </c:pt>
                <c:pt idx="3">
                  <c:v>6.5196000003197696E-2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503-46A0-9204-25186A4285F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9523</c:v>
                </c:pt>
                <c:pt idx="2">
                  <c:v>24384</c:v>
                </c:pt>
                <c:pt idx="3">
                  <c:v>24383.5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503-46A0-9204-25186A4285F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9523</c:v>
                </c:pt>
                <c:pt idx="2">
                  <c:v>24384</c:v>
                </c:pt>
                <c:pt idx="3">
                  <c:v>24383.5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503-46A0-9204-25186A4285F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9523</c:v>
                </c:pt>
                <c:pt idx="2">
                  <c:v>24384</c:v>
                </c:pt>
                <c:pt idx="3">
                  <c:v>24383.5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503-46A0-9204-25186A4285F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9523</c:v>
                </c:pt>
                <c:pt idx="2">
                  <c:v>24384</c:v>
                </c:pt>
                <c:pt idx="3">
                  <c:v>24383.5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-2.6514286106637676E-2</c:v>
                </c:pt>
                <c:pt idx="1">
                  <c:v>5.5530907452153375E-3</c:v>
                </c:pt>
                <c:pt idx="2">
                  <c:v>5.5595439521377014E-2</c:v>
                </c:pt>
                <c:pt idx="3">
                  <c:v>5.5593755840979454E-2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503-46A0-9204-25186A4285F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9523</c:v>
                </c:pt>
                <c:pt idx="2">
                  <c:v>24384</c:v>
                </c:pt>
                <c:pt idx="3">
                  <c:v>24383.5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503-46A0-9204-25186A428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731688"/>
        <c:axId val="1"/>
      </c:scatterChart>
      <c:valAx>
        <c:axId val="7187316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7316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1123950</xdr:colOff>
      <xdr:row>0</xdr:row>
      <xdr:rowOff>0</xdr:rowOff>
    </xdr:from>
    <xdr:to>
      <xdr:col>17</xdr:col>
      <xdr:colOff>76200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0693F69-58F4-4F66-4136-9DEEC8AA33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E11" sqref="E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6" ht="20.25" x14ac:dyDescent="0.3">
      <c r="A1" s="1" t="s">
        <v>45</v>
      </c>
      <c r="F1" s="35" t="s">
        <v>41</v>
      </c>
      <c r="G1" s="31" t="s">
        <v>42</v>
      </c>
      <c r="H1" s="32"/>
      <c r="I1" s="36" t="s">
        <v>43</v>
      </c>
      <c r="J1" s="35" t="s">
        <v>41</v>
      </c>
      <c r="K1" s="37">
        <v>14.29100704</v>
      </c>
      <c r="L1" s="38">
        <v>41.070350400000002</v>
      </c>
      <c r="M1" s="39">
        <v>51415.777000000002</v>
      </c>
      <c r="N1" s="39">
        <v>0.29582399999999998</v>
      </c>
      <c r="O1" s="40" t="s">
        <v>44</v>
      </c>
      <c r="P1" s="40">
        <v>14.15</v>
      </c>
    </row>
    <row r="2" spans="1:16" x14ac:dyDescent="0.2">
      <c r="A2" t="s">
        <v>23</v>
      </c>
      <c r="B2" t="s">
        <v>44</v>
      </c>
      <c r="C2" s="30"/>
      <c r="D2" s="3"/>
    </row>
    <row r="3" spans="1:16" ht="13.5" thickBot="1" x14ac:dyDescent="0.25"/>
    <row r="4" spans="1:16" ht="14.25" thickTop="1" thickBot="1" x14ac:dyDescent="0.25">
      <c r="A4" s="5" t="s">
        <v>0</v>
      </c>
      <c r="C4" s="27">
        <v>54232.870999999999</v>
      </c>
      <c r="D4" s="28">
        <v>0.29582000000000003</v>
      </c>
      <c r="E4" s="41" t="s">
        <v>46</v>
      </c>
    </row>
    <row r="5" spans="1:16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6" x14ac:dyDescent="0.2">
      <c r="A6" s="5" t="s">
        <v>1</v>
      </c>
    </row>
    <row r="7" spans="1:16" x14ac:dyDescent="0.2">
      <c r="A7" t="s">
        <v>2</v>
      </c>
      <c r="C7" s="8">
        <v>51415.777000000002</v>
      </c>
      <c r="D7" s="29" t="s">
        <v>47</v>
      </c>
    </row>
    <row r="8" spans="1:16" x14ac:dyDescent="0.2">
      <c r="A8" t="s">
        <v>3</v>
      </c>
      <c r="C8" s="8">
        <v>0.29582399999999998</v>
      </c>
      <c r="D8" s="29" t="s">
        <v>47</v>
      </c>
    </row>
    <row r="9" spans="1:16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6" x14ac:dyDescent="0.2">
      <c r="A11" s="10" t="s">
        <v>15</v>
      </c>
      <c r="B11" s="10"/>
      <c r="C11" s="21">
        <f ca="1">INTERCEPT(INDIRECT($D$9):G992,INDIRECT($C$9):F992)</f>
        <v>-2.6514286106637676E-2</v>
      </c>
      <c r="D11" s="3"/>
      <c r="E11" s="10"/>
    </row>
    <row r="12" spans="1:16" x14ac:dyDescent="0.2">
      <c r="A12" s="10" t="s">
        <v>16</v>
      </c>
      <c r="B12" s="10"/>
      <c r="C12" s="21">
        <f ca="1">SLOPE(INDIRECT($D$9):G992,INDIRECT($C$9):F992)</f>
        <v>3.3673607951121509E-6</v>
      </c>
      <c r="D12" s="3"/>
      <c r="E12" s="10"/>
    </row>
    <row r="13" spans="1:16" x14ac:dyDescent="0.2">
      <c r="A13" s="10" t="s">
        <v>18</v>
      </c>
      <c r="B13" s="10"/>
      <c r="C13" s="3" t="s">
        <v>13</v>
      </c>
    </row>
    <row r="14" spans="1:16" x14ac:dyDescent="0.2">
      <c r="A14" s="10"/>
      <c r="B14" s="10"/>
      <c r="C14" s="10"/>
    </row>
    <row r="15" spans="1:16" x14ac:dyDescent="0.2">
      <c r="A15" s="12" t="s">
        <v>17</v>
      </c>
      <c r="B15" s="10"/>
      <c r="C15" s="13">
        <f ca="1">(C7+C11)+(C8+C12)*INT(MAX(F21:F3533))</f>
        <v>58629.205011439517</v>
      </c>
      <c r="E15" s="14" t="s">
        <v>34</v>
      </c>
      <c r="F15" s="33">
        <v>1</v>
      </c>
    </row>
    <row r="16" spans="1:16" x14ac:dyDescent="0.2">
      <c r="A16" s="16" t="s">
        <v>4</v>
      </c>
      <c r="B16" s="10"/>
      <c r="C16" s="17">
        <f ca="1">+C8+C12</f>
        <v>0.29582736736079507</v>
      </c>
      <c r="E16" s="14" t="s">
        <v>30</v>
      </c>
      <c r="F16" s="34">
        <f ca="1">NOW()+15018.5+$C$5/24</f>
        <v>60324.762866203702</v>
      </c>
    </row>
    <row r="17" spans="1:21" ht="13.5" thickBot="1" x14ac:dyDescent="0.25">
      <c r="A17" s="14" t="s">
        <v>27</v>
      </c>
      <c r="B17" s="10"/>
      <c r="C17" s="10">
        <f>COUNT(C21:C2191)</f>
        <v>4</v>
      </c>
      <c r="E17" s="14" t="s">
        <v>35</v>
      </c>
      <c r="F17" s="15">
        <f ca="1">ROUND(2*(F16-$C$7)/$C$8,0)/2+F15</f>
        <v>30117</v>
      </c>
    </row>
    <row r="18" spans="1:21" ht="14.25" thickTop="1" thickBot="1" x14ac:dyDescent="0.25">
      <c r="A18" s="16" t="s">
        <v>5</v>
      </c>
      <c r="B18" s="10"/>
      <c r="C18" s="19">
        <f ca="1">+C15</f>
        <v>58629.205011439517</v>
      </c>
      <c r="D18" s="20">
        <f ca="1">+C16</f>
        <v>0.29582736736079507</v>
      </c>
      <c r="E18" s="14" t="s">
        <v>36</v>
      </c>
      <c r="F18" s="23">
        <f ca="1">ROUND(2*(F16-$C$15)/$C$16,0)/2+F15</f>
        <v>5732.5</v>
      </c>
    </row>
    <row r="19" spans="1:21" ht="13.5" thickTop="1" x14ac:dyDescent="0.2">
      <c r="E19" s="14" t="s">
        <v>31</v>
      </c>
      <c r="F19" s="18">
        <f ca="1">+$C$15+$C$16*F18-15018.5-$C$5/24</f>
        <v>45306.931228168607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47</v>
      </c>
      <c r="C21" s="8">
        <v>51415.777000000002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-2.6514286106637676E-2</v>
      </c>
      <c r="Q21" s="2">
        <f>+C21-15018.5</f>
        <v>36397.277000000002</v>
      </c>
    </row>
    <row r="22" spans="1:21" x14ac:dyDescent="0.2">
      <c r="A22" t="s">
        <v>48</v>
      </c>
      <c r="C22" s="8">
        <v>54232.870999999999</v>
      </c>
      <c r="D22" s="8"/>
      <c r="E22">
        <f>+(C22-C$7)/C$8</f>
        <v>9522.8717075017503</v>
      </c>
      <c r="F22">
        <f>ROUND(2*E22,0)/2</f>
        <v>9523</v>
      </c>
      <c r="G22">
        <f>+C22-(C$7+F22*C$8)</f>
        <v>-3.795199999876786E-2</v>
      </c>
      <c r="I22">
        <f>+G22</f>
        <v>-3.795199999876786E-2</v>
      </c>
      <c r="O22">
        <f ca="1">+C$11+C$12*$F22</f>
        <v>5.5530907452153375E-3</v>
      </c>
      <c r="Q22" s="2">
        <f>+C22-15018.5</f>
        <v>39214.370999999999</v>
      </c>
    </row>
    <row r="23" spans="1:21" x14ac:dyDescent="0.2">
      <c r="A23" t="s">
        <v>49</v>
      </c>
      <c r="B23" t="s">
        <v>50</v>
      </c>
      <c r="C23" s="8">
        <v>58629.212399999997</v>
      </c>
      <c r="D23" s="8" t="s">
        <v>51</v>
      </c>
      <c r="E23">
        <f>+(C23-C$7)/C$8</f>
        <v>24384.21291037913</v>
      </c>
      <c r="F23">
        <f>ROUND(2*E23,0)/2</f>
        <v>24384</v>
      </c>
      <c r="G23">
        <f>+C23-(C$7+F23*C$8)</f>
        <v>6.2983999996504281E-2</v>
      </c>
      <c r="K23">
        <f>+G23</f>
        <v>6.2983999996504281E-2</v>
      </c>
      <c r="O23">
        <f ca="1">+C$11+C$12*$F23</f>
        <v>5.5595439521377014E-2</v>
      </c>
      <c r="Q23" s="2">
        <f>+C23-15018.5</f>
        <v>43610.712399999997</v>
      </c>
    </row>
    <row r="24" spans="1:21" x14ac:dyDescent="0.2">
      <c r="A24" t="s">
        <v>49</v>
      </c>
      <c r="B24" t="s">
        <v>52</v>
      </c>
      <c r="C24" s="8">
        <v>58629.066700000003</v>
      </c>
      <c r="D24" s="8" t="s">
        <v>51</v>
      </c>
      <c r="E24">
        <f>+(C24-C$7)/C$8</f>
        <v>24383.720387798156</v>
      </c>
      <c r="F24">
        <f>ROUND(2*E24,0)/2</f>
        <v>24383.5</v>
      </c>
      <c r="G24">
        <f>+C24-(C$7+F24*C$8)</f>
        <v>6.5196000003197696E-2</v>
      </c>
      <c r="K24">
        <f>+G24</f>
        <v>6.5196000003197696E-2</v>
      </c>
      <c r="O24">
        <f ca="1">+C$11+C$12*$F24</f>
        <v>5.5593755840979454E-2</v>
      </c>
      <c r="Q24" s="2">
        <f>+C24-15018.5</f>
        <v>43610.566700000003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2024-01-15T05:18:31Z</dcterms:modified>
</cp:coreProperties>
</file>