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1CEB8ED-5033-45F5-B897-2BE1E17F70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Q23" i="1"/>
  <c r="Q22" i="1"/>
  <c r="C8" i="1"/>
  <c r="C21" i="1"/>
  <c r="C17" i="1"/>
  <c r="C7" i="1"/>
  <c r="Q21" i="1"/>
  <c r="E23" i="1"/>
  <c r="F23" i="1"/>
  <c r="G23" i="1"/>
  <c r="I23" i="1"/>
  <c r="E22" i="1"/>
  <c r="F22" i="1"/>
  <c r="G22" i="1"/>
  <c r="I22" i="1"/>
  <c r="E21" i="1"/>
  <c r="F21" i="1"/>
  <c r="G21" i="1"/>
  <c r="C12" i="1"/>
  <c r="C11" i="1"/>
  <c r="O23" i="1" l="1"/>
  <c r="C15" i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<sst xmlns="http://schemas.openxmlformats.org/spreadsheetml/2006/main" count="48" uniqueCount="45">
  <si>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</si>
  <si>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</si>
  <si>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</si>
  <si>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</si>
  <si>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</si>
  <si>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</si>
  <si>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</si>
  <si>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</si>
  <si>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</si>
  <si>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</si>
  <si>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</si>
  <si>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</si>
  <si>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</si>
  <si>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</si>
  <si>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</si>
  <si>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</si>
  <si>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</si>
  <si>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</si>
  <si>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</si>
  <si>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</si>
  <si>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</si>
  <si>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</si>
  <si>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</si>
  <si>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</si>
  <si>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</si>
  <si>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</si>
  <si>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</si>
  <si>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</si>
  <si>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</si>
  <si>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</si>
  <si>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</si>
  <si>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EA</t>
  </si>
  <si>
    <t>IBVS 5690</t>
  </si>
  <si>
    <t>I</t>
  </si>
  <si>
    <t>AD CMa / gsc 5973-1246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</si>
  <si>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</si>
  <si>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</si>
  <si>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</si>
  <si>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</si>
  <si>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</si>
  <si>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</si>
  <si>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Add cycle</t>
  </si>
  <si>
    <t>Old Cycle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</si>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</sst>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2" borderId="0" xfId="0" applyFont="1" applyFill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CMa - O-C Diagr.</a:t>
            </a:r>
          </a:p>
        </c:rich>
      </c:tx>
      <c:layout>
        <c:manualLayout>
          <c:xMode val="edge"/>
          <c:yMode val="edge"/>
          <c:x val="0.3833584100650123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D-4388-9768-3C7D5CEF74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-0.29976399999577552</c:v>
                </c:pt>
                <c:pt idx="2">
                  <c:v>-0.30724480020580813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D-4388-9768-3C7D5CEF74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D-4388-9768-3C7D5CEF74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D-4388-9768-3C7D5CEF74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D-4388-9768-3C7D5CEF74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6D-4388-9768-3C7D5CEF74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6D-4388-9768-3C7D5CEF74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31990</c:v>
                </c:pt>
                <c:pt idx="2">
                  <c:v>32768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2.260300394574255E-6</c:v>
                </c:pt>
                <c:pt idx="1">
                  <c:v>-0.2998591998972262</c:v>
                </c:pt>
                <c:pt idx="2">
                  <c:v>-0.30715186060475197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6D-4388-9768-3C7D5CEF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368344"/>
        <c:axId val="1"/>
      </c:scatterChart>
      <c:valAx>
        <c:axId val="51736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36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82630755850911"/>
          <c:y val="0.92073298764483702"/>
          <c:w val="0.665676545260965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1B7AF7-8FA5-313B-9026-BA80930C4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31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28060.944</v>
      </c>
      <c r="D4" s="9">
        <v>0.79331359999999995</v>
      </c>
    </row>
    <row r="5" spans="1:6" ht="13.5" thickTop="1" x14ac:dyDescent="0.2">
      <c r="A5" s="14" t="s">
        <v>35</v>
      </c>
      <c r="B5" s="15"/>
      <c r="C5" s="16">
        <v>-9.5</v>
      </c>
      <c r="D5" s="15" t="s">
        <v>36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28060.944</v>
      </c>
    </row>
    <row r="8" spans="1:6" x14ac:dyDescent="0.2">
      <c r="A8" t="s">
        <v>3</v>
      </c>
      <c r="C8">
        <f>+D4</f>
        <v>0.79331359999999995</v>
      </c>
    </row>
    <row r="9" spans="1:6" x14ac:dyDescent="0.2">
      <c r="A9" s="33" t="s">
        <v>43</v>
      </c>
      <c r="B9" s="34">
        <v>21</v>
      </c>
      <c r="C9" s="31" t="str">
        <f>"F"&amp;B9</f>
        <v>F21</v>
      </c>
      <c r="D9" s="32" t="str">
        <f>"G"&amp;B9</f>
        <v>G21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30">
        <f ca="1">INTERCEPT(INDIRECT($D$9):G992,INDIRECT($C$9):F992)</f>
        <v>2.260300394574255E-6</v>
      </c>
      <c r="D11" s="3"/>
      <c r="E11" s="15"/>
    </row>
    <row r="12" spans="1:6" x14ac:dyDescent="0.2">
      <c r="A12" s="15" t="s">
        <v>17</v>
      </c>
      <c r="B12" s="15"/>
      <c r="C12" s="30">
        <f ca="1">SLOPE(INDIRECT($D$9):G992,INDIRECT($C$9):F992)</f>
        <v>-9.3735998811385054E-6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17" t="s">
        <v>18</v>
      </c>
      <c r="B15" s="15"/>
      <c r="C15" s="18">
        <f ca="1">(C7+C11)+(C8+C12)*INT(MAX(F21:F3533))</f>
        <v>54055.936892939397</v>
      </c>
      <c r="E15" s="19" t="s">
        <v>41</v>
      </c>
      <c r="F15" s="16">
        <v>1</v>
      </c>
    </row>
    <row r="16" spans="1:6" x14ac:dyDescent="0.2">
      <c r="A16" s="21" t="s">
        <v>4</v>
      </c>
      <c r="B16" s="15"/>
      <c r="C16" s="22">
        <f ca="1">+C8+C12</f>
        <v>0.79330422640011877</v>
      </c>
      <c r="E16" s="19" t="s">
        <v>37</v>
      </c>
      <c r="F16" s="20">
        <f ca="1">NOW()+15018.5+$C$5/24</f>
        <v>60335.693425347221</v>
      </c>
    </row>
    <row r="17" spans="1:17" ht="13.5" thickBot="1" x14ac:dyDescent="0.25">
      <c r="A17" s="19" t="s">
        <v>30</v>
      </c>
      <c r="B17" s="15"/>
      <c r="C17" s="15">
        <f>COUNT(C21:C2191)</f>
        <v>3</v>
      </c>
      <c r="E17" s="19" t="s">
        <v>42</v>
      </c>
      <c r="F17" s="20">
        <f ca="1">ROUND(2*(F16-$C$7)/$C$8,0)/2+F15</f>
        <v>40684.5</v>
      </c>
    </row>
    <row r="18" spans="1:17" ht="14.25" thickTop="1" thickBot="1" x14ac:dyDescent="0.25">
      <c r="A18" s="21" t="s">
        <v>5</v>
      </c>
      <c r="B18" s="15"/>
      <c r="C18" s="24">
        <f ca="1">+C15</f>
        <v>54055.936892939397</v>
      </c>
      <c r="D18" s="25">
        <f ca="1">+C16</f>
        <v>0.79330422640011877</v>
      </c>
      <c r="E18" s="19" t="s">
        <v>38</v>
      </c>
      <c r="F18" s="32">
        <f ca="1">ROUND(2*(F16-$C$15)/$C$16,0)/2+F15</f>
        <v>7917</v>
      </c>
    </row>
    <row r="19" spans="1:17" ht="13.5" thickTop="1" x14ac:dyDescent="0.2">
      <c r="E19" s="19" t="s">
        <v>39</v>
      </c>
      <c r="F19" s="23">
        <f ca="1">+$C$15+$C$16*F18-15018.5-$C$5/24</f>
        <v>45318.422286682471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28060.944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v>0</v>
      </c>
      <c r="O21">
        <f ca="1">+C$11+C$12*$F21</f>
        <v>2.260300394574255E-6</v>
      </c>
      <c r="Q21" s="2">
        <f>+C21-15018.5</f>
        <v>13042.444</v>
      </c>
    </row>
    <row r="22" spans="1:17" x14ac:dyDescent="0.2">
      <c r="A22" s="11" t="s">
        <v>32</v>
      </c>
      <c r="B22" s="12" t="s">
        <v>33</v>
      </c>
      <c r="C22" s="13">
        <v>53438.746299999999</v>
      </c>
      <c r="D22" s="13">
        <v>4.0000000000000002E-4</v>
      </c>
      <c r="E22">
        <f>+(C22-C$7)/C$8</f>
        <v>31989.62213681954</v>
      </c>
      <c r="F22" s="29">
        <f>ROUND(2*E22,0)/2+0.5</f>
        <v>31990</v>
      </c>
      <c r="G22">
        <f>+C22-(C$7+F22*C$8)</f>
        <v>-0.29976399999577552</v>
      </c>
      <c r="I22">
        <f>+G22</f>
        <v>-0.29976399999577552</v>
      </c>
      <c r="O22">
        <f ca="1">+C$11+C$12*$F22</f>
        <v>-0.2998591998972262</v>
      </c>
      <c r="Q22" s="2">
        <f>+C22-15018.5</f>
        <v>38420.246299999999</v>
      </c>
    </row>
    <row r="23" spans="1:17" x14ac:dyDescent="0.2">
      <c r="A23" s="26" t="s">
        <v>40</v>
      </c>
      <c r="B23" s="27" t="s">
        <v>33</v>
      </c>
      <c r="C23" s="28">
        <v>54055.936799999792</v>
      </c>
      <c r="D23" s="28">
        <v>2.0000000000000001E-4</v>
      </c>
      <c r="E23">
        <f>+(C23-C$7)/C$8</f>
        <v>32767.61270700489</v>
      </c>
      <c r="F23" s="29">
        <f>ROUND(2*E23,0)/2+0.5</f>
        <v>32768</v>
      </c>
      <c r="G23">
        <f>+C23-(C$7+F23*C$8)</f>
        <v>-0.30724480020580813</v>
      </c>
      <c r="I23">
        <f>+G23</f>
        <v>-0.30724480020580813</v>
      </c>
      <c r="O23">
        <f ca="1">+C$11+C$12*$F23</f>
        <v>-0.30715186060475197</v>
      </c>
      <c r="Q23" s="2">
        <f>+C23-15018.5</f>
        <v>39037.436799999792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2024-01-26T03:38:31Z</dcterms:modified>
</cp:coreProperties>
</file>