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C82AF60-FAC4-491C-BF80-1C16D48CFCD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E22" i="1"/>
  <c r="F22" i="1" s="1"/>
  <c r="G22" i="1" s="1"/>
  <c r="I22" i="1" s="1"/>
  <c r="Q23" i="1"/>
  <c r="E9" i="1"/>
  <c r="D9" i="1"/>
  <c r="Q21" i="1"/>
  <c r="Q22" i="1"/>
  <c r="F16" i="1"/>
  <c r="F17" i="1" s="1"/>
  <c r="C17" i="1"/>
  <c r="E21" i="1"/>
  <c r="F21" i="1" s="1"/>
  <c r="G21" i="1" s="1"/>
  <c r="K21" i="1" s="1"/>
  <c r="C11" i="1"/>
  <c r="C12" i="1"/>
  <c r="C16" i="1" l="1"/>
  <c r="D18" i="1" s="1"/>
  <c r="O23" i="1"/>
  <c r="O22" i="1"/>
  <c r="O21" i="1"/>
  <c r="C15" i="1"/>
  <c r="F18" i="1" s="1"/>
  <c r="F19" i="1" l="1"/>
  <c r="C18" i="1"/>
</calcChain>
</file>

<file path=xl/sharedStrings.xml><?xml version="1.0" encoding="utf-8"?>
<sst xmlns="http://schemas.openxmlformats.org/spreadsheetml/2006/main" count="57" uniqueCount="52">
  <si>
    <t>OEJV 0181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</si>
  <si>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</si>
  <si>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</si>
  <si>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</si>
  <si>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</si>
  <si>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</si>
  <si>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</si>
  <si>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</si>
  <si>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</si>
  <si>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</si>
  <si>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</si>
  <si>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</si>
  <si>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</si>
  <si>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</si>
  <si>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</si>
  <si>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</si>
  <si>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</si>
  <si>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</si>
  <si>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</si>
  <si>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</si>
  <si>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</si>
  <si>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</si>
  <si>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</si>
  <si>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</si>
  <si>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</si>
  <si>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</si>
  <si>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</si>
  <si>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</si>
  <si>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</si>
  <si>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</si>
  <si>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</si>
  <si>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</si>
  <si>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</si>
  <si>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</si>
  <si>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</si>
  <si>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</si>
  <si>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</si>
  <si>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</si>
  <si>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</si>
  <si>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</si>
  <si>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</si>
  <si>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</si>
  <si>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</si>
  <si>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GU CMa</t>
  </si>
  <si>
    <t>2015L</t>
  </si>
  <si>
    <t>G5389-3065</t>
  </si>
  <si>
    <t>EB</t>
  </si>
  <si>
    <t>GU CMa / GSC 5389-3065</t>
  </si>
  <si>
    <t>VSX</t>
  </si>
  <si>
    <t>IBVS 6114</t>
  </si>
  <si>
    <t>I</t>
  </si>
  <si>
    <t>OEJV 0172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</si>
</sst>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4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name val="Arial Unicode MS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39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39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24" borderId="5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9" fillId="0" borderId="5" xfId="0" applyNumberFormat="1" applyFont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0" borderId="5" xfId="0" applyFont="1" applyBorder="1" applyAlignment="1">
      <alignment vertical="center"/>
    </xf>
    <xf numFmtId="0" fontId="16" fillId="24" borderId="5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20" fillId="25" borderId="0" xfId="0" applyFont="1" applyFill="1">
      <alignment vertical="top"/>
    </xf>
    <xf numFmtId="0" fontId="5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NumberFormat="1" applyFont="1" applyFill="1" applyBorder="1" applyAlignment="1" applyProtection="1">
      <alignment horizontal="left" vertical="top"/>
    </xf>
    <xf numFmtId="0" fontId="23" fillId="0" borderId="0" xfId="0" applyNumberFormat="1" applyFont="1" applyFill="1" applyBorder="1" applyAlignment="1" applyProtection="1">
      <alignment horizontal="center" vertical="top"/>
    </xf>
    <xf numFmtId="172" fontId="23" fillId="0" borderId="0" xfId="0" applyNumberFormat="1" applyFont="1" applyFill="1" applyBorder="1" applyAlignment="1" applyProtection="1">
      <alignment horizontal="left" vertical="top"/>
    </xf>
    <xf numFmtId="0" fontId="38" fillId="0" borderId="0" xfId="41" applyFont="1"/>
    <xf numFmtId="0" fontId="38" fillId="0" borderId="0" xfId="41" applyFont="1" applyAlignment="1">
      <alignment horizontal="center"/>
    </xf>
    <xf numFmtId="0" fontId="38" fillId="0" borderId="0" xfId="41" applyFont="1" applyAlignment="1">
      <alignment horizontal="left"/>
    </xf>
    <xf numFmtId="0" fontId="10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CMa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4.3E-3</c:v>
                  </c:pt>
                  <c:pt idx="1">
                    <c:v>0.01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4.3E-3</c:v>
                  </c:pt>
                  <c:pt idx="1">
                    <c:v>0.01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464.5</c:v>
                </c:pt>
                <c:pt idx="2">
                  <c:v>972.5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FD-4ECA-9059-F8B390B0DCD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4.3E-3</c:v>
                  </c:pt>
                  <c:pt idx="1">
                    <c:v>0.01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4.3E-3</c:v>
                  </c:pt>
                  <c:pt idx="1">
                    <c:v>0.01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464.5</c:v>
                </c:pt>
                <c:pt idx="2">
                  <c:v>972.5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-7.3564999984228052E-3</c:v>
                </c:pt>
                <c:pt idx="2">
                  <c:v>8.0474999995203689E-3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FD-4ECA-9059-F8B390B0DCD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4.3E-3</c:v>
                  </c:pt>
                  <c:pt idx="1">
                    <c:v>0.01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4.3E-3</c:v>
                  </c:pt>
                  <c:pt idx="1">
                    <c:v>0.01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464.5</c:v>
                </c:pt>
                <c:pt idx="2">
                  <c:v>972.5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FD-4ECA-9059-F8B390B0DCD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4.3E-3</c:v>
                  </c:pt>
                  <c:pt idx="1">
                    <c:v>0.01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4.3E-3</c:v>
                  </c:pt>
                  <c:pt idx="1">
                    <c:v>0.01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464.5</c:v>
                </c:pt>
                <c:pt idx="2">
                  <c:v>972.5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FD-4ECA-9059-F8B390B0DCD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4.3E-3</c:v>
                  </c:pt>
                  <c:pt idx="1">
                    <c:v>0.01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4.3E-3</c:v>
                  </c:pt>
                  <c:pt idx="1">
                    <c:v>0.01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464.5</c:v>
                </c:pt>
                <c:pt idx="2">
                  <c:v>972.5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3FD-4ECA-9059-F8B390B0DC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4.3E-3</c:v>
                  </c:pt>
                  <c:pt idx="1">
                    <c:v>0.01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4.3E-3</c:v>
                  </c:pt>
                  <c:pt idx="1">
                    <c:v>0.01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464.5</c:v>
                </c:pt>
                <c:pt idx="2">
                  <c:v>972.5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3FD-4ECA-9059-F8B390B0DC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4.3E-3</c:v>
                  </c:pt>
                  <c:pt idx="1">
                    <c:v>0.01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4.3E-3</c:v>
                  </c:pt>
                  <c:pt idx="1">
                    <c:v>0.01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464.5</c:v>
                </c:pt>
                <c:pt idx="2">
                  <c:v>972.5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3FD-4ECA-9059-F8B390B0DCD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464.5</c:v>
                </c:pt>
                <c:pt idx="2">
                  <c:v>972.5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-3.8978191649629182E-3</c:v>
                </c:pt>
                <c:pt idx="1">
                  <c:v>1.0536838332215115E-4</c:v>
                </c:pt>
                <c:pt idx="2">
                  <c:v>4.4834507827383307E-3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3FD-4ECA-9059-F8B390B0DCD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464.5</c:v>
                </c:pt>
                <c:pt idx="2">
                  <c:v>972.5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3FD-4ECA-9059-F8B390B0D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665176"/>
        <c:axId val="1"/>
      </c:scatterChart>
      <c:valAx>
        <c:axId val="681665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665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390B8F7-86E5-99BF-73F8-0D7CAF9BF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47</v>
      </c>
      <c r="F1" s="31" t="s">
        <v>43</v>
      </c>
      <c r="G1" s="32" t="s">
        <v>44</v>
      </c>
      <c r="H1" s="33"/>
      <c r="I1" s="37" t="s">
        <v>45</v>
      </c>
      <c r="J1" s="38" t="s">
        <v>43</v>
      </c>
      <c r="K1" s="34">
        <v>7.0149509999999999</v>
      </c>
      <c r="L1" s="39">
        <v>-11.18033</v>
      </c>
      <c r="M1" s="40">
        <v>56269.594720000001</v>
      </c>
      <c r="N1" s="41">
        <v>0.80508000000000002</v>
      </c>
      <c r="O1" s="42" t="s">
        <v>46</v>
      </c>
    </row>
    <row r="2" spans="1:15">
      <c r="A2" t="s">
        <v>24</v>
      </c>
      <c r="B2" t="s">
        <v>46</v>
      </c>
      <c r="C2" s="30"/>
      <c r="D2" s="3"/>
    </row>
    <row r="3" spans="1:15" ht="13.5" thickBot="1"/>
    <row r="4" spans="1:15" ht="14.25" thickTop="1" thickBot="1">
      <c r="A4" s="5" t="s">
        <v>1</v>
      </c>
      <c r="C4" s="27" t="s">
        <v>38</v>
      </c>
      <c r="D4" s="28" t="s">
        <v>38</v>
      </c>
    </row>
    <row r="5" spans="1:15" ht="13.5" thickTop="1">
      <c r="A5" s="9" t="s">
        <v>29</v>
      </c>
      <c r="B5" s="10"/>
      <c r="C5" s="11">
        <v>-9.5</v>
      </c>
      <c r="D5" s="10" t="s">
        <v>30</v>
      </c>
      <c r="E5" s="10"/>
    </row>
    <row r="6" spans="1:15">
      <c r="A6" s="5" t="s">
        <v>2</v>
      </c>
    </row>
    <row r="7" spans="1:15">
      <c r="A7" t="s">
        <v>3</v>
      </c>
      <c r="C7" s="52">
        <v>56269.594720000001</v>
      </c>
      <c r="D7" s="29" t="e">
        <v>#N/A</v>
      </c>
    </row>
    <row r="8" spans="1:15">
      <c r="A8" t="s">
        <v>4</v>
      </c>
      <c r="C8" s="52">
        <v>1.6101369999999999</v>
      </c>
      <c r="D8" s="29" t="s">
        <v>48</v>
      </c>
    </row>
    <row r="9" spans="1:15">
      <c r="A9" s="24" t="s">
        <v>33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>
      <c r="A10" s="10"/>
      <c r="B10" s="10"/>
      <c r="C10" s="4" t="s">
        <v>20</v>
      </c>
      <c r="D10" s="4" t="s">
        <v>21</v>
      </c>
      <c r="E10" s="10"/>
    </row>
    <row r="11" spans="1:15">
      <c r="A11" s="10" t="s">
        <v>16</v>
      </c>
      <c r="B11" s="10"/>
      <c r="C11" s="21">
        <f ca="1">INTERCEPT(INDIRECT($E$9):G991,INDIRECT($D$9):F991)</f>
        <v>-3.8978191649629182E-3</v>
      </c>
      <c r="D11" s="3"/>
      <c r="E11" s="10"/>
    </row>
    <row r="12" spans="1:15">
      <c r="A12" s="10" t="s">
        <v>17</v>
      </c>
      <c r="B12" s="10"/>
      <c r="C12" s="21">
        <f ca="1">SLOPE(INDIRECT($E$9):G991,INDIRECT($D$9):F991)</f>
        <v>8.6182724397956289E-6</v>
      </c>
      <c r="D12" s="3"/>
      <c r="E12" s="10"/>
    </row>
    <row r="13" spans="1:15">
      <c r="A13" s="10" t="s">
        <v>19</v>
      </c>
      <c r="B13" s="10"/>
      <c r="C13" s="3" t="s">
        <v>14</v>
      </c>
    </row>
    <row r="14" spans="1:15">
      <c r="A14" s="10"/>
      <c r="B14" s="10"/>
      <c r="C14" s="10"/>
    </row>
    <row r="15" spans="1:15">
      <c r="A15" s="12" t="s">
        <v>18</v>
      </c>
      <c r="B15" s="10"/>
      <c r="C15" s="13">
        <f ca="1">(C7+C11)+(C8+C12)*INT(MAX(F21:F3532))</f>
        <v>57834.652363141649</v>
      </c>
      <c r="E15" s="14" t="s">
        <v>35</v>
      </c>
      <c r="F15" s="35">
        <v>1</v>
      </c>
    </row>
    <row r="16" spans="1:15">
      <c r="A16" s="16" t="s">
        <v>5</v>
      </c>
      <c r="B16" s="10"/>
      <c r="C16" s="17">
        <f ca="1">+C8+C12</f>
        <v>1.6101456182724396</v>
      </c>
      <c r="E16" s="14" t="s">
        <v>31</v>
      </c>
      <c r="F16" s="36">
        <f ca="1">NOW()+15018.5+$C$5/24</f>
        <v>60335.707640509259</v>
      </c>
    </row>
    <row r="17" spans="1:18" ht="13.5" thickBot="1">
      <c r="A17" s="14" t="s">
        <v>28</v>
      </c>
      <c r="B17" s="10"/>
      <c r="C17" s="10">
        <f>COUNT(C21:C2190)</f>
        <v>3</v>
      </c>
      <c r="E17" s="14" t="s">
        <v>36</v>
      </c>
      <c r="F17" s="15">
        <f ca="1">ROUND(2*(F16-$C$7)/$C$8,0)/2+F15</f>
        <v>2526.5</v>
      </c>
    </row>
    <row r="18" spans="1:18" ht="14.25" thickTop="1" thickBot="1">
      <c r="A18" s="16" t="s">
        <v>6</v>
      </c>
      <c r="B18" s="10"/>
      <c r="C18" s="19">
        <f ca="1">+C15</f>
        <v>57834.652363141649</v>
      </c>
      <c r="D18" s="20">
        <f ca="1">+C16</f>
        <v>1.6101456182724396</v>
      </c>
      <c r="E18" s="14" t="s">
        <v>37</v>
      </c>
      <c r="F18" s="23">
        <f ca="1">ROUND(2*(F16-$C$15)/$C$16,0)/2+F15</f>
        <v>1554.5</v>
      </c>
    </row>
    <row r="19" spans="1:18" ht="13.5" thickTop="1">
      <c r="E19" s="14" t="s">
        <v>32</v>
      </c>
      <c r="F19" s="18">
        <f ca="1">+$C$15+$C$16*F18-15018.5-$C$5/24</f>
        <v>45319.51956007949</v>
      </c>
    </row>
    <row r="20" spans="1:18" ht="13.5" thickBot="1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R20" s="26" t="s">
        <v>34</v>
      </c>
    </row>
    <row r="21" spans="1:18">
      <c r="A21" s="43" t="s">
        <v>49</v>
      </c>
      <c r="B21" s="44" t="s">
        <v>50</v>
      </c>
      <c r="C21" s="43">
        <v>56269.594720000001</v>
      </c>
      <c r="D21" s="43">
        <v>4.3E-3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-3.8978191649629182E-3</v>
      </c>
      <c r="Q21" s="2">
        <f>+C21-15018.5</f>
        <v>41251.094720000001</v>
      </c>
    </row>
    <row r="22" spans="1:18">
      <c r="A22" s="45" t="s">
        <v>51</v>
      </c>
      <c r="B22" s="46" t="s">
        <v>50</v>
      </c>
      <c r="C22" s="47">
        <v>57017.495999999999</v>
      </c>
      <c r="D22" s="47">
        <v>0.01</v>
      </c>
      <c r="E22">
        <f>+(C22-C$7)/C$8</f>
        <v>464.49543113411983</v>
      </c>
      <c r="F22">
        <f>ROUND(2*E22,0)/2</f>
        <v>464.5</v>
      </c>
      <c r="G22">
        <f>+C22-(C$7+F22*C$8)</f>
        <v>-7.3564999984228052E-3</v>
      </c>
      <c r="I22">
        <f>+G22</f>
        <v>-7.3564999984228052E-3</v>
      </c>
      <c r="O22">
        <f ca="1">+C$11+C$12*$F22</f>
        <v>1.0536838332215115E-4</v>
      </c>
      <c r="Q22" s="2">
        <f>+C22-15018.5</f>
        <v>41998.995999999999</v>
      </c>
    </row>
    <row r="23" spans="1:18">
      <c r="A23" s="48" t="s">
        <v>0</v>
      </c>
      <c r="B23" s="49" t="s">
        <v>50</v>
      </c>
      <c r="C23" s="50">
        <v>57835.461000000003</v>
      </c>
      <c r="D23" s="51">
        <v>8.0000000000000002E-3</v>
      </c>
      <c r="E23">
        <f>+(C23-C$7)/C$8</f>
        <v>972.5049980219087</v>
      </c>
      <c r="F23">
        <f>ROUND(2*E23,0)/2</f>
        <v>972.5</v>
      </c>
      <c r="G23">
        <f>+C23-(C$7+F23*C$8)</f>
        <v>8.0474999995203689E-3</v>
      </c>
      <c r="I23">
        <f>+G23</f>
        <v>8.0474999995203689E-3</v>
      </c>
      <c r="O23">
        <f ca="1">+C$11+C$12*$F23</f>
        <v>4.4834507827383307E-3</v>
      </c>
      <c r="Q23" s="2">
        <f>+C23-15018.5</f>
        <v>42816.961000000003</v>
      </c>
    </row>
    <row r="24" spans="1:18">
      <c r="C24" s="8"/>
      <c r="D24" s="8"/>
      <c r="Q24" s="2"/>
    </row>
    <row r="25" spans="1:18">
      <c r="C25" s="8"/>
      <c r="D25" s="8"/>
      <c r="Q25" s="2"/>
    </row>
    <row r="26" spans="1:18">
      <c r="C26" s="8"/>
      <c r="D26" s="8"/>
      <c r="Q26" s="2"/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4">
      <c r="C33" s="8"/>
      <c r="D33" s="8"/>
    </row>
    <row r="34" spans="3:4">
      <c r="C34" s="8"/>
      <c r="D34" s="8"/>
    </row>
    <row r="35" spans="3:4">
      <c r="C35" s="8"/>
      <c r="D35" s="8"/>
    </row>
    <row r="36" spans="3:4">
      <c r="C36" s="8"/>
      <c r="D36" s="8"/>
    </row>
    <row r="37" spans="3:4">
      <c r="C37" s="8"/>
      <c r="D37" s="8"/>
    </row>
    <row r="38" spans="3:4">
      <c r="C38" s="8"/>
      <c r="D38" s="8"/>
    </row>
    <row r="39" spans="3:4">
      <c r="C39" s="8"/>
      <c r="D39" s="8"/>
    </row>
    <row r="40" spans="3:4">
      <c r="C40" s="8"/>
      <c r="D40" s="8"/>
    </row>
    <row r="41" spans="3:4">
      <c r="C41" s="8"/>
      <c r="D41" s="8"/>
    </row>
    <row r="42" spans="3:4">
      <c r="C42" s="8"/>
      <c r="D42" s="8"/>
    </row>
    <row r="43" spans="3:4">
      <c r="C43" s="8"/>
      <c r="D43" s="8"/>
    </row>
    <row r="44" spans="3:4">
      <c r="C44" s="8"/>
      <c r="D44" s="8"/>
    </row>
    <row r="45" spans="3:4">
      <c r="C45" s="8"/>
      <c r="D45" s="8"/>
    </row>
    <row r="46" spans="3:4">
      <c r="C46" s="8"/>
      <c r="D46" s="8"/>
    </row>
    <row r="47" spans="3:4">
      <c r="C47" s="8"/>
      <c r="D47" s="8"/>
    </row>
    <row r="48" spans="3:4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</sheetData>
  <phoneticPr fontId="8" type="noConversion"/>
  <hyperlinks>
    <hyperlink ref="H1711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2024-01-26T03:59:00Z</dcterms:modified>
</cp:coreProperties>
</file>