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F323DB-0880-44F1-A533-4B5CA544B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Q79" i="1"/>
  <c r="E78" i="1"/>
  <c r="F78" i="1" s="1"/>
  <c r="G78" i="1" s="1"/>
  <c r="Q78" i="1"/>
  <c r="E73" i="1"/>
  <c r="F73" i="1" s="1"/>
  <c r="G73" i="1" s="1"/>
  <c r="Q73" i="1"/>
  <c r="E74" i="1"/>
  <c r="F74" i="1" s="1"/>
  <c r="G74" i="1" s="1"/>
  <c r="Q74" i="1"/>
  <c r="E75" i="1"/>
  <c r="F75" i="1" s="1"/>
  <c r="G75" i="1" s="1"/>
  <c r="Q75" i="1"/>
  <c r="E76" i="1"/>
  <c r="F76" i="1" s="1"/>
  <c r="G76" i="1" s="1"/>
  <c r="Q76" i="1"/>
  <c r="E77" i="1"/>
  <c r="F77" i="1" s="1"/>
  <c r="G77" i="1" s="1"/>
  <c r="Q77" i="1"/>
  <c r="E71" i="1"/>
  <c r="F71" i="1"/>
  <c r="G71" i="1"/>
  <c r="Q71" i="1"/>
  <c r="E72" i="1"/>
  <c r="F72" i="1"/>
  <c r="G72" i="1"/>
  <c r="Q72" i="1"/>
  <c r="Q66" i="1"/>
  <c r="Q67" i="1"/>
  <c r="Q68" i="1"/>
  <c r="Q69" i="1"/>
  <c r="Q70" i="1"/>
  <c r="E37" i="1"/>
  <c r="F37" i="1"/>
  <c r="E39" i="1"/>
  <c r="F39" i="1"/>
  <c r="E43" i="1"/>
  <c r="F43" i="1"/>
  <c r="E46" i="1"/>
  <c r="F46" i="1"/>
  <c r="E50" i="1"/>
  <c r="F50" i="1"/>
  <c r="E52" i="1"/>
  <c r="F52" i="1"/>
  <c r="E55" i="1"/>
  <c r="F55" i="1"/>
  <c r="E58" i="1"/>
  <c r="F58" i="1"/>
  <c r="E40" i="1"/>
  <c r="F40" i="1"/>
  <c r="E49" i="1"/>
  <c r="F49" i="1"/>
  <c r="C13" i="1"/>
  <c r="Q57" i="1"/>
  <c r="Q59" i="1"/>
  <c r="Q60" i="1"/>
  <c r="Q61" i="1"/>
  <c r="Q62" i="1"/>
  <c r="Q63" i="1"/>
  <c r="Q64" i="1"/>
  <c r="Q65" i="1"/>
  <c r="Q56" i="1"/>
  <c r="Q58" i="1"/>
  <c r="Q51" i="1"/>
  <c r="Q48" i="1"/>
  <c r="Q42" i="1"/>
  <c r="Q41" i="1"/>
  <c r="Q40" i="1"/>
  <c r="Q39" i="1"/>
  <c r="Q38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1" i="2"/>
  <c r="C21" i="2"/>
  <c r="E21" i="2"/>
  <c r="G42" i="2"/>
  <c r="C42" i="2"/>
  <c r="G20" i="2"/>
  <c r="C20" i="2"/>
  <c r="E20" i="2"/>
  <c r="G19" i="2"/>
  <c r="C19" i="2"/>
  <c r="E19" i="2"/>
  <c r="G41" i="2"/>
  <c r="C41" i="2"/>
  <c r="G18" i="2"/>
  <c r="C18" i="2"/>
  <c r="G17" i="2"/>
  <c r="C17" i="2"/>
  <c r="E17" i="2"/>
  <c r="G16" i="2"/>
  <c r="C16" i="2"/>
  <c r="G15" i="2"/>
  <c r="C15" i="2"/>
  <c r="G14" i="2"/>
  <c r="C14" i="2"/>
  <c r="G40" i="2"/>
  <c r="C40" i="2"/>
  <c r="G39" i="2"/>
  <c r="C39" i="2"/>
  <c r="G38" i="2"/>
  <c r="C38" i="2"/>
  <c r="E38" i="2"/>
  <c r="G37" i="2"/>
  <c r="C37" i="2"/>
  <c r="E37" i="2"/>
  <c r="G36" i="2"/>
  <c r="C36" i="2"/>
  <c r="G13" i="2"/>
  <c r="C13" i="2"/>
  <c r="E13" i="2"/>
  <c r="G35" i="2"/>
  <c r="C35" i="2"/>
  <c r="G12" i="2"/>
  <c r="C12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11" i="2"/>
  <c r="C11" i="2"/>
  <c r="E11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41" i="2"/>
  <c r="D41" i="2"/>
  <c r="B41" i="2"/>
  <c r="A4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3" i="2"/>
  <c r="B13" i="2"/>
  <c r="D13" i="2"/>
  <c r="A13" i="2"/>
  <c r="H35" i="2"/>
  <c r="D35" i="2"/>
  <c r="B35" i="2"/>
  <c r="A35" i="2"/>
  <c r="H12" i="2"/>
  <c r="B12" i="2"/>
  <c r="D12" i="2"/>
  <c r="A12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1" i="2"/>
  <c r="B11" i="2"/>
  <c r="D11" i="2"/>
  <c r="A11" i="2"/>
  <c r="C8" i="1"/>
  <c r="C7" i="1"/>
  <c r="E66" i="1"/>
  <c r="F66" i="1"/>
  <c r="Q35" i="1"/>
  <c r="Q37" i="1"/>
  <c r="Q43" i="1"/>
  <c r="Q44" i="1"/>
  <c r="Q45" i="1"/>
  <c r="Q46" i="1"/>
  <c r="Q47" i="1"/>
  <c r="Q49" i="1"/>
  <c r="Q50" i="1"/>
  <c r="Q52" i="1"/>
  <c r="Q53" i="1"/>
  <c r="Q54" i="1"/>
  <c r="Q55" i="1"/>
  <c r="F12" i="1"/>
  <c r="F13" i="1" s="1"/>
  <c r="D14" i="1"/>
  <c r="D13" i="1"/>
  <c r="C14" i="1"/>
  <c r="C17" i="1"/>
  <c r="Q21" i="1"/>
  <c r="E25" i="1"/>
  <c r="F25" i="1"/>
  <c r="E27" i="1"/>
  <c r="F27" i="1"/>
  <c r="E21" i="1"/>
  <c r="F21" i="1"/>
  <c r="E22" i="1"/>
  <c r="F22" i="1"/>
  <c r="E26" i="1"/>
  <c r="F26" i="1"/>
  <c r="E28" i="1"/>
  <c r="F28" i="1"/>
  <c r="G28" i="1"/>
  <c r="E14" i="2"/>
  <c r="R72" i="1"/>
  <c r="K72" i="1"/>
  <c r="K71" i="1"/>
  <c r="R71" i="1"/>
  <c r="E27" i="2"/>
  <c r="E28" i="2"/>
  <c r="E12" i="2"/>
  <c r="R28" i="1"/>
  <c r="I28" i="1"/>
  <c r="E24" i="2"/>
  <c r="E15" i="2"/>
  <c r="G21" i="1"/>
  <c r="E24" i="1"/>
  <c r="F24" i="1"/>
  <c r="G24" i="1"/>
  <c r="E23" i="1"/>
  <c r="F23" i="1"/>
  <c r="G23" i="1"/>
  <c r="E47" i="1"/>
  <c r="F47" i="1"/>
  <c r="G47" i="1"/>
  <c r="E36" i="1"/>
  <c r="F36" i="1"/>
  <c r="G36" i="1"/>
  <c r="G38" i="1"/>
  <c r="G31" i="1"/>
  <c r="E64" i="1"/>
  <c r="F64" i="1"/>
  <c r="G64" i="1"/>
  <c r="E62" i="1"/>
  <c r="F62" i="1"/>
  <c r="G62" i="1"/>
  <c r="E60" i="1"/>
  <c r="F60" i="1"/>
  <c r="G60" i="1"/>
  <c r="E69" i="1"/>
  <c r="F69" i="1"/>
  <c r="G69" i="1"/>
  <c r="E67" i="1"/>
  <c r="F67" i="1"/>
  <c r="G67" i="1"/>
  <c r="G27" i="1"/>
  <c r="E57" i="1"/>
  <c r="F57" i="1"/>
  <c r="G57" i="1"/>
  <c r="G53" i="1"/>
  <c r="G26" i="1"/>
  <c r="E45" i="1"/>
  <c r="F45" i="1"/>
  <c r="G45" i="1"/>
  <c r="E35" i="1"/>
  <c r="F35" i="1"/>
  <c r="G35" i="1"/>
  <c r="E56" i="1"/>
  <c r="F56" i="1"/>
  <c r="G56" i="1"/>
  <c r="E54" i="1"/>
  <c r="F54" i="1"/>
  <c r="G54" i="1"/>
  <c r="E51" i="1"/>
  <c r="F51" i="1"/>
  <c r="G51" i="1"/>
  <c r="E48" i="1"/>
  <c r="F48" i="1"/>
  <c r="G48" i="1"/>
  <c r="E44" i="1"/>
  <c r="F44" i="1"/>
  <c r="G44" i="1"/>
  <c r="E41" i="1"/>
  <c r="F41" i="1"/>
  <c r="G41" i="1"/>
  <c r="E38" i="1"/>
  <c r="F38" i="1"/>
  <c r="G61" i="1"/>
  <c r="G59" i="1"/>
  <c r="E34" i="1"/>
  <c r="E33" i="1"/>
  <c r="F33" i="1"/>
  <c r="G66" i="1"/>
  <c r="E32" i="1"/>
  <c r="E31" i="1"/>
  <c r="F31" i="1"/>
  <c r="G49" i="1"/>
  <c r="G40" i="1"/>
  <c r="G33" i="1"/>
  <c r="G25" i="1"/>
  <c r="E53" i="1"/>
  <c r="F53" i="1"/>
  <c r="E42" i="1"/>
  <c r="F42" i="1"/>
  <c r="G42" i="1"/>
  <c r="G58" i="1"/>
  <c r="G55" i="1"/>
  <c r="G52" i="1"/>
  <c r="G50" i="1"/>
  <c r="G46" i="1"/>
  <c r="G43" i="1"/>
  <c r="G39" i="1"/>
  <c r="G37" i="1"/>
  <c r="G22" i="1"/>
  <c r="E65" i="1"/>
  <c r="F65" i="1"/>
  <c r="G65" i="1"/>
  <c r="E63" i="1"/>
  <c r="F63" i="1"/>
  <c r="G63" i="1"/>
  <c r="E61" i="1"/>
  <c r="F61" i="1"/>
  <c r="E59" i="1"/>
  <c r="F59" i="1"/>
  <c r="E70" i="1"/>
  <c r="F70" i="1"/>
  <c r="G70" i="1"/>
  <c r="E68" i="1"/>
  <c r="F68" i="1"/>
  <c r="G68" i="1"/>
  <c r="E30" i="1"/>
  <c r="F30" i="1"/>
  <c r="G30" i="1"/>
  <c r="E29" i="1"/>
  <c r="F29" i="1"/>
  <c r="G29" i="1"/>
  <c r="I41" i="1"/>
  <c r="R41" i="1"/>
  <c r="K45" i="1"/>
  <c r="S45" i="1"/>
  <c r="I51" i="1"/>
  <c r="R51" i="1"/>
  <c r="R63" i="1"/>
  <c r="K63" i="1"/>
  <c r="S30" i="1"/>
  <c r="I30" i="1"/>
  <c r="S57" i="1"/>
  <c r="K57" i="1"/>
  <c r="K54" i="1"/>
  <c r="R54" i="1"/>
  <c r="K65" i="1"/>
  <c r="R65" i="1"/>
  <c r="K44" i="1"/>
  <c r="R44" i="1"/>
  <c r="I48" i="1"/>
  <c r="R48" i="1"/>
  <c r="S23" i="1"/>
  <c r="I23" i="1"/>
  <c r="R29" i="1"/>
  <c r="I29" i="1"/>
  <c r="S42" i="1"/>
  <c r="I42" i="1"/>
  <c r="K68" i="1"/>
  <c r="R68" i="1"/>
  <c r="K70" i="1"/>
  <c r="R70" i="1"/>
  <c r="K56" i="1"/>
  <c r="R56" i="1"/>
  <c r="U35" i="1"/>
  <c r="S35" i="1"/>
  <c r="R52" i="1"/>
  <c r="K52" i="1"/>
  <c r="R22" i="1"/>
  <c r="I22" i="1"/>
  <c r="R58" i="1"/>
  <c r="K58" i="1"/>
  <c r="F32" i="1"/>
  <c r="G32" i="1"/>
  <c r="E32" i="2"/>
  <c r="R59" i="1"/>
  <c r="K59" i="1"/>
  <c r="K53" i="1"/>
  <c r="S53" i="1"/>
  <c r="I31" i="1"/>
  <c r="R31" i="1"/>
  <c r="S36" i="1"/>
  <c r="I36" i="1"/>
  <c r="E31" i="2"/>
  <c r="E40" i="2"/>
  <c r="R39" i="1"/>
  <c r="I39" i="1"/>
  <c r="K66" i="1"/>
  <c r="S66" i="1"/>
  <c r="I27" i="1"/>
  <c r="R27" i="1"/>
  <c r="E29" i="2"/>
  <c r="S47" i="1"/>
  <c r="K47" i="1"/>
  <c r="S25" i="1"/>
  <c r="I25" i="1"/>
  <c r="R67" i="1"/>
  <c r="K67" i="1"/>
  <c r="R21" i="1"/>
  <c r="H21" i="1"/>
  <c r="E18" i="2"/>
  <c r="S49" i="1"/>
  <c r="K49" i="1"/>
  <c r="K61" i="1"/>
  <c r="R61" i="1"/>
  <c r="R43" i="1"/>
  <c r="K43" i="1"/>
  <c r="K46" i="1"/>
  <c r="R46" i="1"/>
  <c r="I33" i="1"/>
  <c r="S33" i="1"/>
  <c r="R69" i="1"/>
  <c r="K69" i="1"/>
  <c r="E42" i="2"/>
  <c r="E35" i="2"/>
  <c r="E39" i="2"/>
  <c r="K37" i="1"/>
  <c r="R37" i="1"/>
  <c r="I38" i="1"/>
  <c r="R38" i="1"/>
  <c r="K50" i="1"/>
  <c r="R50" i="1"/>
  <c r="S40" i="1"/>
  <c r="I40" i="1"/>
  <c r="F34" i="1"/>
  <c r="G34" i="1"/>
  <c r="E34" i="2"/>
  <c r="S26" i="1"/>
  <c r="I26" i="1"/>
  <c r="R60" i="1"/>
  <c r="K60" i="1"/>
  <c r="E16" i="2"/>
  <c r="E30" i="2"/>
  <c r="E23" i="2"/>
  <c r="R62" i="1"/>
  <c r="K62" i="1"/>
  <c r="R55" i="1"/>
  <c r="K55" i="1"/>
  <c r="R64" i="1"/>
  <c r="K64" i="1"/>
  <c r="S24" i="1"/>
  <c r="I24" i="1"/>
  <c r="E36" i="2"/>
  <c r="E41" i="2"/>
  <c r="E33" i="2"/>
  <c r="I34" i="1"/>
  <c r="S34" i="1"/>
  <c r="S32" i="1"/>
  <c r="I32" i="1"/>
  <c r="K79" i="1" l="1"/>
  <c r="S79" i="1"/>
  <c r="K78" i="1"/>
  <c r="R78" i="1"/>
  <c r="R76" i="1"/>
  <c r="K76" i="1"/>
  <c r="K75" i="1"/>
  <c r="R75" i="1"/>
  <c r="K74" i="1"/>
  <c r="R74" i="1"/>
  <c r="K77" i="1"/>
  <c r="R77" i="1"/>
  <c r="K73" i="1"/>
  <c r="R73" i="1"/>
  <c r="D11" i="1"/>
  <c r="D12" i="1"/>
  <c r="C11" i="1"/>
  <c r="C12" i="1"/>
  <c r="P79" i="1" l="1"/>
  <c r="O79" i="1"/>
  <c r="P78" i="1"/>
  <c r="O78" i="1"/>
  <c r="R19" i="1"/>
  <c r="E18" i="1" s="1"/>
  <c r="C16" i="1"/>
  <c r="D18" i="1" s="1"/>
  <c r="O52" i="1"/>
  <c r="O48" i="1"/>
  <c r="O59" i="1"/>
  <c r="O33" i="1"/>
  <c r="O66" i="1"/>
  <c r="O51" i="1"/>
  <c r="O53" i="1"/>
  <c r="O44" i="1"/>
  <c r="O31" i="1"/>
  <c r="O43" i="1"/>
  <c r="O29" i="1"/>
  <c r="O40" i="1"/>
  <c r="O58" i="1"/>
  <c r="O37" i="1"/>
  <c r="O35" i="1"/>
  <c r="O73" i="1"/>
  <c r="O72" i="1"/>
  <c r="O25" i="1"/>
  <c r="O70" i="1"/>
  <c r="O50" i="1"/>
  <c r="O67" i="1"/>
  <c r="O64" i="1"/>
  <c r="O74" i="1"/>
  <c r="O41" i="1"/>
  <c r="O55" i="1"/>
  <c r="O38" i="1"/>
  <c r="O21" i="1"/>
  <c r="O30" i="1"/>
  <c r="O71" i="1"/>
  <c r="O75" i="1"/>
  <c r="O61" i="1"/>
  <c r="O45" i="1"/>
  <c r="O56" i="1"/>
  <c r="O22" i="1"/>
  <c r="O42" i="1"/>
  <c r="O54" i="1"/>
  <c r="O36" i="1"/>
  <c r="O46" i="1"/>
  <c r="O24" i="1"/>
  <c r="O60" i="1"/>
  <c r="O57" i="1"/>
  <c r="O39" i="1"/>
  <c r="O49" i="1"/>
  <c r="O34" i="1"/>
  <c r="O62" i="1"/>
  <c r="O26" i="1"/>
  <c r="O68" i="1"/>
  <c r="O76" i="1"/>
  <c r="O32" i="1"/>
  <c r="C15" i="1"/>
  <c r="O28" i="1"/>
  <c r="O63" i="1"/>
  <c r="O27" i="1"/>
  <c r="O77" i="1"/>
  <c r="O65" i="1"/>
  <c r="O69" i="1"/>
  <c r="O23" i="1"/>
  <c r="O47" i="1"/>
  <c r="D16" i="1"/>
  <c r="D19" i="1" s="1"/>
  <c r="P73" i="1"/>
  <c r="P74" i="1"/>
  <c r="P75" i="1"/>
  <c r="P76" i="1"/>
  <c r="P77" i="1"/>
  <c r="P53" i="1"/>
  <c r="P45" i="1"/>
  <c r="P71" i="1"/>
  <c r="P64" i="1"/>
  <c r="P68" i="1"/>
  <c r="P40" i="1"/>
  <c r="P33" i="1"/>
  <c r="P38" i="1"/>
  <c r="P41" i="1"/>
  <c r="P39" i="1"/>
  <c r="P32" i="1"/>
  <c r="P52" i="1"/>
  <c r="P51" i="1"/>
  <c r="P22" i="1"/>
  <c r="P57" i="1"/>
  <c r="P26" i="1"/>
  <c r="P50" i="1"/>
  <c r="P62" i="1"/>
  <c r="P56" i="1"/>
  <c r="P55" i="1"/>
  <c r="P21" i="1"/>
  <c r="P58" i="1"/>
  <c r="P67" i="1"/>
  <c r="P48" i="1"/>
  <c r="P54" i="1"/>
  <c r="P61" i="1"/>
  <c r="P35" i="1"/>
  <c r="P72" i="1"/>
  <c r="P23" i="1"/>
  <c r="P36" i="1"/>
  <c r="P42" i="1"/>
  <c r="P60" i="1"/>
  <c r="P69" i="1"/>
  <c r="P24" i="1"/>
  <c r="P34" i="1"/>
  <c r="P30" i="1"/>
  <c r="P25" i="1"/>
  <c r="P63" i="1"/>
  <c r="P27" i="1"/>
  <c r="P31" i="1"/>
  <c r="P29" i="1"/>
  <c r="P46" i="1"/>
  <c r="P47" i="1"/>
  <c r="P65" i="1"/>
  <c r="P59" i="1"/>
  <c r="P37" i="1"/>
  <c r="P43" i="1"/>
  <c r="P44" i="1"/>
  <c r="D15" i="1"/>
  <c r="C19" i="1" s="1"/>
  <c r="P70" i="1"/>
  <c r="P66" i="1"/>
  <c r="P49" i="1"/>
  <c r="P28" i="1"/>
  <c r="S19" i="1"/>
  <c r="E19" i="1" s="1"/>
  <c r="F14" i="1" l="1"/>
  <c r="F15" i="1" s="1"/>
  <c r="C18" i="1"/>
</calcChain>
</file>

<file path=xl/sharedStrings.xml><?xml version="1.0" encoding="utf-8"?>
<sst xmlns="http://schemas.openxmlformats.org/spreadsheetml/2006/main" count="444" uniqueCount="197">
  <si>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</si>
  <si>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</si>
  <si>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</si>
  <si>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</si>
  <si>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</si>
  <si>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</si>
  <si>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</si>
  <si>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</si>
  <si>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</si>
  <si>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</si>
  <si>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</si>
  <si>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</si>
  <si>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</si>
  <si>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</si>
  <si>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</si>
  <si>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</si>
  <si>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</si>
  <si>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</si>
  <si>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</si>
  <si>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</si>
  <si>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</si>
  <si>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</si>
  <si>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</si>
  <si>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</si>
  <si>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</si>
  <si>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</si>
  <si>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</si>
  <si>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</si>
  <si>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</si>
  <si>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</si>
  <si>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</si>
  <si>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</si>
  <si>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</si>
  <si>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</si>
  <si>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</si>
  <si>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</si>
  <si>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</si>
  <si>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</si>
  <si>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</si>
  <si>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</si>
  <si>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</si>
  <si>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</si>
  <si>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</si>
  <si>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TZ CMa / gsc 5957-1076</t>
  </si>
  <si>
    <t>EA</t>
  </si>
  <si>
    <t>BBSAG Bull.86</t>
  </si>
  <si>
    <t>IBVS 5502</t>
  </si>
  <si>
    <t>I</t>
  </si>
  <si>
    <t>JAVSO..36..171</t>
  </si>
  <si>
    <t>JAVSO..36..186</t>
  </si>
  <si>
    <t>JAVSO..37...44</t>
  </si>
  <si>
    <t>JAVSO..38..183</t>
  </si>
  <si>
    <t>2013JAVSO..41..122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</si>
  <si>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</si>
  <si>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</si>
  <si>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</si>
  <si>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</si>
  <si>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</si>
  <si>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</si>
  <si>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</si>
  <si>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</si>
  <si>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</si>
  <si>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</si>
  <si>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</si>
  <si>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</si>
  <si>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</si>
  <si>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2427124.871 </t>
  </si>
  <si>
    <t> 21.02.1933 08:54 </t>
  </si>
  <si>
    <t> 0.089 </t>
  </si>
  <si>
    <t>V </t>
  </si>
  <si>
    <t> N.F.Florja </t>
  </si>
  <si>
    <t> PSMO 8.2.102 </t>
  </si>
  <si>
    <t>2427868.403 </t>
  </si>
  <si>
    <t> 06.03.1935 21:40 </t>
  </si>
  <si>
    <t> 0.025 </t>
  </si>
  <si>
    <t>2443096.844 </t>
  </si>
  <si>
    <t> 14.11.1976 08:15 </t>
  </si>
  <si>
    <t> 0.113 </t>
  </si>
  <si>
    <t> G.Wedemayer </t>
  </si>
  <si>
    <t> AOEB 11 </t>
  </si>
  <si>
    <t>2443165.638 </t>
  </si>
  <si>
    <t> 22.01.1977 03:18 </t>
  </si>
  <si>
    <t> 0.095 </t>
  </si>
  <si>
    <t> G.Samolyk </t>
  </si>
  <si>
    <t>2443165.662 </t>
  </si>
  <si>
    <t> 22.01.1977 03:53 </t>
  </si>
  <si>
    <t> 0.119 </t>
  </si>
  <si>
    <t>2443876.710 </t>
  </si>
  <si>
    <t> 03.01.1979 05:02 </t>
  </si>
  <si>
    <t> 0.114 </t>
  </si>
  <si>
    <t>2444608.763 </t>
  </si>
  <si>
    <t> 04.01.1981 06:18 </t>
  </si>
  <si>
    <t> 0.039 </t>
  </si>
  <si>
    <t>2444654.624 </t>
  </si>
  <si>
    <t> 19.02.1981 02:58 </t>
  </si>
  <si>
    <t>2445021.623 </t>
  </si>
  <si>
    <t> 21.02.1982 02:57 </t>
  </si>
  <si>
    <t> 0.029 </t>
  </si>
  <si>
    <t>2445298.818 </t>
  </si>
  <si>
    <t> 25.11.1982 07:37 </t>
  </si>
  <si>
    <t>2445732.665 </t>
  </si>
  <si>
    <t> 02.02.1984 03:57 </t>
  </si>
  <si>
    <t> 0.017 </t>
  </si>
  <si>
    <t>2445753.699 </t>
  </si>
  <si>
    <t> 23.02.1984 04:46 </t>
  </si>
  <si>
    <t> 0.074 </t>
  </si>
  <si>
    <t>2446445.673 </t>
  </si>
  <si>
    <t> 15.01.1986 04:09 </t>
  </si>
  <si>
    <t> 0.108 </t>
  </si>
  <si>
    <t>2446835.599 </t>
  </si>
  <si>
    <t> 09.02.1987 02:22 </t>
  </si>
  <si>
    <t> 0.102 </t>
  </si>
  <si>
    <t>2447141.487 </t>
  </si>
  <si>
    <t> 11.12.1987 23:41 </t>
  </si>
  <si>
    <t> 0.160 </t>
  </si>
  <si>
    <t> A.Paschke </t>
  </si>
  <si>
    <t> BBS 86 </t>
  </si>
  <si>
    <t>2452615.7752 </t>
  </si>
  <si>
    <t> 07.12.2002 06:36 </t>
  </si>
  <si>
    <t> 0.0990 </t>
  </si>
  <si>
    <t>C </t>
  </si>
  <si>
    <t>ns</t>
  </si>
  <si>
    <t> AOEB 12 </t>
  </si>
  <si>
    <t>2452980.8107 </t>
  </si>
  <si>
    <t> 07.12.2003 07:27 </t>
  </si>
  <si>
    <t> 0.0019 </t>
  </si>
  <si>
    <t>E </t>
  </si>
  <si>
    <t>?</t>
  </si>
  <si>
    <t> S.Dvorak </t>
  </si>
  <si>
    <t>IBVS 5502 </t>
  </si>
  <si>
    <t>2453049.6222 </t>
  </si>
  <si>
    <t> 14.02.2004 02:55 </t>
  </si>
  <si>
    <t> 0.0017 </t>
  </si>
  <si>
    <t>2453393.6791 </t>
  </si>
  <si>
    <t> 23.01.2005 04:17 </t>
  </si>
  <si>
    <t> 0.0004 </t>
  </si>
  <si>
    <t>2454079.9314 </t>
  </si>
  <si>
    <t> 10.12.2006 10:21 </t>
  </si>
  <si>
    <t> 0.0961 </t>
  </si>
  <si>
    <t>2454081.7959 </t>
  </si>
  <si>
    <t> 12.12.2006 07:06 </t>
  </si>
  <si>
    <t> 0.0006 </t>
  </si>
  <si>
    <t> J.Bialozynski </t>
  </si>
  <si>
    <t>2454102.8725 </t>
  </si>
  <si>
    <t> 02.01.2007 08:56 </t>
  </si>
  <si>
    <t> 0.1000 </t>
  </si>
  <si>
    <t>2454494.6653 </t>
  </si>
  <si>
    <t> 29.01.2008 03:58 </t>
  </si>
  <si>
    <t> 0.0001 </t>
  </si>
  <si>
    <t>JAAVSO 36(2);171 </t>
  </si>
  <si>
    <t>2454517.6023 </t>
  </si>
  <si>
    <t> 21.02.2008 02:27 </t>
  </si>
  <si>
    <t> -0.0001 </t>
  </si>
  <si>
    <t>2454538.6765 </t>
  </si>
  <si>
    <t> 13.03.2008 04:14 </t>
  </si>
  <si>
    <t> 0.0969 </t>
  </si>
  <si>
    <t>o</t>
  </si>
  <si>
    <t>JAAVSO 36(2);186 </t>
  </si>
  <si>
    <t>2454792.8487 </t>
  </si>
  <si>
    <t> 22.11.2008 08:22 </t>
  </si>
  <si>
    <t> -0.0003 </t>
  </si>
  <si>
    <t> JAAVSO 37;44 </t>
  </si>
  <si>
    <t>2454863.6215 </t>
  </si>
  <si>
    <t> 01.02.2009 02:54 </t>
  </si>
  <si>
    <t> 0.0980 </t>
  </si>
  <si>
    <t>2454876.9527 </t>
  </si>
  <si>
    <t> 14.02.2009 10:51 </t>
  </si>
  <si>
    <t> H.Itoh </t>
  </si>
  <si>
    <t>VSB 50 </t>
  </si>
  <si>
    <t>2455138.8674 </t>
  </si>
  <si>
    <t> 03.11.2009 08:49 </t>
  </si>
  <si>
    <t> 0.0973 </t>
  </si>
  <si>
    <t> JAAVSO 38;120 </t>
  </si>
  <si>
    <t>2455182.7816 </t>
  </si>
  <si>
    <t> 17.12.2009 06:45 </t>
  </si>
  <si>
    <t>2455618.612 </t>
  </si>
  <si>
    <t> 26.02.2011 02:41 </t>
  </si>
  <si>
    <t> 0.023 </t>
  </si>
  <si>
    <t> C.Stephan </t>
  </si>
  <si>
    <t>VSB 53 </t>
  </si>
  <si>
    <t>2455962.6464 </t>
  </si>
  <si>
    <t> 05.02.2012 03:30 </t>
  </si>
  <si>
    <t> -0.0007 </t>
  </si>
  <si>
    <t> JAAVSO 41;122 </t>
  </si>
  <si>
    <t>BAD?</t>
  </si>
  <si>
    <t>JAVSO..44..164</t>
  </si>
  <si>
    <t>JAVSO..45..215</t>
  </si>
  <si>
    <t>Ic</t>
  </si>
  <si>
    <t>JAVSO..46..184</t>
  </si>
  <si>
    <t>JAVSO..47..263</t>
  </si>
  <si>
    <t>JAVSO..48..256</t>
  </si>
  <si>
    <t>JAVSO 49, 108</t>
  </si>
  <si>
    <t>JAVSO, 48, 256</t>
  </si>
  <si>
    <t>JAVSO, 49, 108</t>
  </si>
  <si>
    <t>JAVSO, 50, 133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</si>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</sst>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  <xf numFmtId="43" fontId="24" fillId="0" borderId="0" applyFon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43" fontId="23" fillId="0" borderId="0" xfId="10" applyFont="1" applyBorder="1"/>
    <xf numFmtId="165" fontId="23" fillId="0" borderId="0" xfId="0" applyNumberFormat="1" applyFont="1" applyAlignment="1">
      <alignment horizontal="left" vertical="center" wrapText="1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3" fontId="23" fillId="0" borderId="0" xfId="10" applyFont="1" applyBorder="1" applyAlignment="1">
      <alignment horizont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5-4973-AAC5-481240B1A3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-2.0494000003964175E-2</c:v>
                </c:pt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9">
                  <c:v>-8.1568000001425389E-2</c:v>
                </c:pt>
                <c:pt idx="10">
                  <c:v>-0.13281000000279164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5">
                  <c:v>-0.1396560000066529</c:v>
                </c:pt>
                <c:pt idx="17">
                  <c:v>-0.1908980000007432</c:v>
                </c:pt>
                <c:pt idx="18">
                  <c:v>-0.1942780000026687</c:v>
                </c:pt>
                <c:pt idx="19">
                  <c:v>-0.1510920000000624</c:v>
                </c:pt>
                <c:pt idx="20">
                  <c:v>-0.19803800000227056</c:v>
                </c:pt>
                <c:pt idx="21">
                  <c:v>-0.14734400000452297</c:v>
                </c:pt>
                <c:pt idx="27">
                  <c:v>-0.20277399999758927</c:v>
                </c:pt>
                <c:pt idx="30">
                  <c:v>-0.18452200000319863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5-4973-AAC5-481240B1A3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5-4973-AAC5-481240B1A3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-0.19034200000169221</c:v>
                </c:pt>
                <c:pt idx="22">
                  <c:v>-0.20097399999940535</c:v>
                </c:pt>
                <c:pt idx="23">
                  <c:v>-0.20132600000215461</c:v>
                </c:pt>
                <c:pt idx="24">
                  <c:v>-0.15303200000198558</c:v>
                </c:pt>
                <c:pt idx="25">
                  <c:v>-0.20315000000118744</c:v>
                </c:pt>
                <c:pt idx="26">
                  <c:v>-0.15385199999582255</c:v>
                </c:pt>
                <c:pt idx="28">
                  <c:v>-0.15617599999677623</c:v>
                </c:pt>
                <c:pt idx="29">
                  <c:v>-0.20523399999365211</c:v>
                </c:pt>
                <c:pt idx="31">
                  <c:v>-0.21040200000425102</c:v>
                </c:pt>
                <c:pt idx="32">
                  <c:v>-0.16253000000142492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6">
                  <c:v>-0.17031999999744585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5">
                  <c:v>-0.1738480000058189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  <c:pt idx="57">
                  <c:v>-0.23769399999582674</c:v>
                </c:pt>
                <c:pt idx="58">
                  <c:v>-0.18438799995055888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5-4973-AAC5-481240B1A3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5-4973-AAC5-481240B1A3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5-4973-AAC5-481240B1A3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5-4973-AAC5-481240B1A3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-2.1299047983507082E-3</c:v>
                </c:pt>
                <c:pt idx="1">
                  <c:v>-7.382723866464414E-3</c:v>
                </c:pt>
                <c:pt idx="2">
                  <c:v>-0.11496423933089087</c:v>
                </c:pt>
                <c:pt idx="3">
                  <c:v>-0.1154503614040325</c:v>
                </c:pt>
                <c:pt idx="4">
                  <c:v>-0.1154503614040325</c:v>
                </c:pt>
                <c:pt idx="5">
                  <c:v>-0.120473622826496</c:v>
                </c:pt>
                <c:pt idx="6">
                  <c:v>-0.12564542154908609</c:v>
                </c:pt>
                <c:pt idx="7">
                  <c:v>-0.12596950293118053</c:v>
                </c:pt>
                <c:pt idx="8">
                  <c:v>-0.12856215398793586</c:v>
                </c:pt>
                <c:pt idx="9">
                  <c:v>-0.13052014567142298</c:v>
                </c:pt>
                <c:pt idx="10">
                  <c:v>-0.13358541541039937</c:v>
                </c:pt>
                <c:pt idx="11">
                  <c:v>-0.13373395271052596</c:v>
                </c:pt>
                <c:pt idx="12">
                  <c:v>-0.13862218022378345</c:v>
                </c:pt>
                <c:pt idx="13">
                  <c:v>-0.14137687197158602</c:v>
                </c:pt>
                <c:pt idx="14">
                  <c:v>-0.14353741451888213</c:v>
                </c:pt>
                <c:pt idx="15">
                  <c:v>-0.18221112611548279</c:v>
                </c:pt>
                <c:pt idx="16">
                  <c:v>-0.18479027378131754</c:v>
                </c:pt>
                <c:pt idx="17">
                  <c:v>-0.18527639585445915</c:v>
                </c:pt>
                <c:pt idx="18">
                  <c:v>-0.18770700622016731</c:v>
                </c:pt>
                <c:pt idx="19">
                  <c:v>-0.19255472356066297</c:v>
                </c:pt>
                <c:pt idx="20">
                  <c:v>-0.1925682269515836</c:v>
                </c:pt>
                <c:pt idx="21">
                  <c:v>-0.19271676425171019</c:v>
                </c:pt>
                <c:pt idx="22">
                  <c:v>-0.19548495939043337</c:v>
                </c:pt>
                <c:pt idx="23">
                  <c:v>-0.19564700008148056</c:v>
                </c:pt>
                <c:pt idx="24">
                  <c:v>-0.19579553738160718</c:v>
                </c:pt>
                <c:pt idx="25">
                  <c:v>-0.19759148837404708</c:v>
                </c:pt>
                <c:pt idx="26">
                  <c:v>-0.19809111383810932</c:v>
                </c:pt>
                <c:pt idx="27">
                  <c:v>-0.19818563757455351</c:v>
                </c:pt>
                <c:pt idx="28">
                  <c:v>-0.20003560213067581</c:v>
                </c:pt>
                <c:pt idx="29">
                  <c:v>-0.20034618012184963</c:v>
                </c:pt>
                <c:pt idx="30">
                  <c:v>-0.20342495325174662</c:v>
                </c:pt>
                <c:pt idx="31">
                  <c:v>-0.20585556361745475</c:v>
                </c:pt>
                <c:pt idx="32">
                  <c:v>-0.20792158242830669</c:v>
                </c:pt>
                <c:pt idx="33">
                  <c:v>-0.20793508581922729</c:v>
                </c:pt>
                <c:pt idx="34">
                  <c:v>-0.20823216041948051</c:v>
                </c:pt>
                <c:pt idx="35">
                  <c:v>-0.21622616784447615</c:v>
                </c:pt>
                <c:pt idx="36">
                  <c:v>-0.21845422734637529</c:v>
                </c:pt>
                <c:pt idx="37">
                  <c:v>-0.2188188189012315</c:v>
                </c:pt>
                <c:pt idx="38">
                  <c:v>-0.22119541570325726</c:v>
                </c:pt>
                <c:pt idx="39">
                  <c:v>-0.22119541570325726</c:v>
                </c:pt>
                <c:pt idx="40">
                  <c:v>-0.22119541570325726</c:v>
                </c:pt>
                <c:pt idx="41">
                  <c:v>-0.22135745639430446</c:v>
                </c:pt>
                <c:pt idx="42">
                  <c:v>-0.22135745639430446</c:v>
                </c:pt>
                <c:pt idx="43">
                  <c:v>-0.22135745639430446</c:v>
                </c:pt>
                <c:pt idx="44">
                  <c:v>-0.2235179989416006</c:v>
                </c:pt>
                <c:pt idx="45">
                  <c:v>-0.22139796656706626</c:v>
                </c:pt>
                <c:pt idx="46">
                  <c:v>-0.22141146995798686</c:v>
                </c:pt>
                <c:pt idx="47">
                  <c:v>-0.22403112779658341</c:v>
                </c:pt>
                <c:pt idx="48">
                  <c:v>-0.22659677207149756</c:v>
                </c:pt>
                <c:pt idx="49">
                  <c:v>-0.22663728224425936</c:v>
                </c:pt>
                <c:pt idx="50">
                  <c:v>-0.22837921967301686</c:v>
                </c:pt>
                <c:pt idx="51">
                  <c:v>-0.22902738243720572</c:v>
                </c:pt>
                <c:pt idx="52">
                  <c:v>-0.22659677207149756</c:v>
                </c:pt>
                <c:pt idx="53">
                  <c:v>-0.22663728224425936</c:v>
                </c:pt>
                <c:pt idx="54">
                  <c:v>-0.22837921967301686</c:v>
                </c:pt>
                <c:pt idx="55">
                  <c:v>-0.22902738243720572</c:v>
                </c:pt>
                <c:pt idx="56">
                  <c:v>-0.23113391142081943</c:v>
                </c:pt>
                <c:pt idx="57">
                  <c:v>-0.23356452178652756</c:v>
                </c:pt>
                <c:pt idx="58">
                  <c:v>-0.234091154032431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5-4973-AAC5-481240B1A38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3.8449851599262085E-2</c:v>
                </c:pt>
                <c:pt idx="1">
                  <c:v>3.3344862741168838E-2</c:v>
                </c:pt>
                <c:pt idx="2">
                  <c:v>-7.1208983614689511E-2</c:v>
                </c:pt>
                <c:pt idx="3">
                  <c:v>-7.1681424742944935E-2</c:v>
                </c:pt>
                <c:pt idx="4">
                  <c:v>-7.1681424742944935E-2</c:v>
                </c:pt>
                <c:pt idx="5">
                  <c:v>-7.656331640158423E-2</c:v>
                </c:pt>
                <c:pt idx="6">
                  <c:v>-8.1589565071634909E-2</c:v>
                </c:pt>
                <c:pt idx="7">
                  <c:v>-8.1904525823805183E-2</c:v>
                </c:pt>
                <c:pt idx="8">
                  <c:v>-8.4424211841167399E-2</c:v>
                </c:pt>
                <c:pt idx="9">
                  <c:v>-8.6327099718862835E-2</c:v>
                </c:pt>
                <c:pt idx="10">
                  <c:v>-8.9306103499806708E-2</c:v>
                </c:pt>
                <c:pt idx="11">
                  <c:v>-8.9450460511218091E-2</c:v>
                </c:pt>
                <c:pt idx="12">
                  <c:v>-9.4201118523119756E-2</c:v>
                </c:pt>
                <c:pt idx="13">
                  <c:v>-9.6878284916567123E-2</c:v>
                </c:pt>
                <c:pt idx="14">
                  <c:v>-9.8978023264368983E-2</c:v>
                </c:pt>
                <c:pt idx="15">
                  <c:v>-0.1365633396900221</c:v>
                </c:pt>
                <c:pt idx="16">
                  <c:v>-0.13906990234271055</c:v>
                </c:pt>
                <c:pt idx="17">
                  <c:v>-0.13954234347096595</c:v>
                </c:pt>
                <c:pt idx="18">
                  <c:v>-0.14190454911224304</c:v>
                </c:pt>
                <c:pt idx="19">
                  <c:v>-0.14661583703012343</c:v>
                </c:pt>
                <c:pt idx="20">
                  <c:v>-0.14662896039479723</c:v>
                </c:pt>
                <c:pt idx="21">
                  <c:v>-0.14677331740620858</c:v>
                </c:pt>
                <c:pt idx="22">
                  <c:v>-0.14946360716432971</c:v>
                </c:pt>
                <c:pt idx="23">
                  <c:v>-0.14962108754041481</c:v>
                </c:pt>
                <c:pt idx="24">
                  <c:v>-0.14976544455182622</c:v>
                </c:pt>
                <c:pt idx="25">
                  <c:v>-0.15151085205343651</c:v>
                </c:pt>
                <c:pt idx="26">
                  <c:v>-0.1519964165463657</c:v>
                </c:pt>
                <c:pt idx="27">
                  <c:v>-0.15208828009908198</c:v>
                </c:pt>
                <c:pt idx="28">
                  <c:v>-0.15388618105938734</c:v>
                </c:pt>
                <c:pt idx="29">
                  <c:v>-0.15418801844688385</c:v>
                </c:pt>
                <c:pt idx="30">
                  <c:v>-0.15718014559250149</c:v>
                </c:pt>
                <c:pt idx="31">
                  <c:v>-0.15954235123377858</c:v>
                </c:pt>
                <c:pt idx="32">
                  <c:v>-0.1615502260288641</c:v>
                </c:pt>
                <c:pt idx="33">
                  <c:v>-0.16156334939353784</c:v>
                </c:pt>
                <c:pt idx="34">
                  <c:v>-0.1618520634163606</c:v>
                </c:pt>
                <c:pt idx="35">
                  <c:v>-0.16962109530322744</c:v>
                </c:pt>
                <c:pt idx="36">
                  <c:v>-0.17178645047439811</c:v>
                </c:pt>
                <c:pt idx="37">
                  <c:v>-0.17214078132058969</c:v>
                </c:pt>
                <c:pt idx="38">
                  <c:v>-0.17445049350317171</c:v>
                </c:pt>
                <c:pt idx="39">
                  <c:v>-0.17445049350317171</c:v>
                </c:pt>
                <c:pt idx="40">
                  <c:v>-0.17445049350317171</c:v>
                </c:pt>
                <c:pt idx="41">
                  <c:v>-0.17460797387925686</c:v>
                </c:pt>
                <c:pt idx="42">
                  <c:v>-0.17460797387925686</c:v>
                </c:pt>
                <c:pt idx="43">
                  <c:v>-0.17460797387925686</c:v>
                </c:pt>
                <c:pt idx="44">
                  <c:v>-0.17670771222705872</c:v>
                </c:pt>
                <c:pt idx="45">
                  <c:v>-0.17464734397327814</c:v>
                </c:pt>
                <c:pt idx="46">
                  <c:v>-0.17466046733795187</c:v>
                </c:pt>
                <c:pt idx="47">
                  <c:v>-0.17720640008466165</c:v>
                </c:pt>
                <c:pt idx="48">
                  <c:v>-0.17969983937267631</c:v>
                </c:pt>
                <c:pt idx="49">
                  <c:v>-0.17973920946669764</c:v>
                </c:pt>
                <c:pt idx="50">
                  <c:v>-0.18143212350961285</c:v>
                </c:pt>
                <c:pt idx="51">
                  <c:v>-0.1820620450139534</c:v>
                </c:pt>
                <c:pt idx="52">
                  <c:v>-0.17969983937267631</c:v>
                </c:pt>
                <c:pt idx="53">
                  <c:v>-0.17973920946669764</c:v>
                </c:pt>
                <c:pt idx="54">
                  <c:v>-0.18143212350961285</c:v>
                </c:pt>
                <c:pt idx="55">
                  <c:v>-0.1820620450139534</c:v>
                </c:pt>
                <c:pt idx="56">
                  <c:v>-0.18410928990306019</c:v>
                </c:pt>
                <c:pt idx="57">
                  <c:v>-0.18647149554433728</c:v>
                </c:pt>
                <c:pt idx="58">
                  <c:v>-0.18698330676661401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5-4973-AAC5-481240B1A385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14">
                  <c:v>-4.65120000008028E-2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05-4973-AAC5-481240B1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960"/>
        <c:axId val="1"/>
      </c:scatterChart>
      <c:valAx>
        <c:axId val="43362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709677419354843E-2"/>
          <c:y val="0.92097264437689974"/>
          <c:w val="0.90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-2.0494000003964175E-2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10">
                  <c:v>-0.13281000000279164</c:v>
                </c:pt>
                <c:pt idx="16">
                  <c:v>-0.19034200000169221</c:v>
                </c:pt>
                <c:pt idx="17">
                  <c:v>-0.1908980000007432</c:v>
                </c:pt>
                <c:pt idx="18">
                  <c:v>-0.1942780000026687</c:v>
                </c:pt>
                <c:pt idx="20">
                  <c:v>-0.19803800000227056</c:v>
                </c:pt>
                <c:pt idx="22">
                  <c:v>-0.20097399999940535</c:v>
                </c:pt>
                <c:pt idx="23">
                  <c:v>-0.20132600000215461</c:v>
                </c:pt>
                <c:pt idx="25">
                  <c:v>-0.20315000000118744</c:v>
                </c:pt>
                <c:pt idx="27">
                  <c:v>-0.20277399999758927</c:v>
                </c:pt>
                <c:pt idx="29">
                  <c:v>-0.20523399999365211</c:v>
                </c:pt>
                <c:pt idx="30">
                  <c:v>-0.18452200000319863</c:v>
                </c:pt>
                <c:pt idx="31">
                  <c:v>-0.21040200000425102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  <c:pt idx="57">
                  <c:v>-0.23769399999582674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4-4853-B66D-5D4BC5A8937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-2.1299047983507082E-3</c:v>
                </c:pt>
                <c:pt idx="1">
                  <c:v>-7.382723866464414E-3</c:v>
                </c:pt>
                <c:pt idx="2">
                  <c:v>-0.11496423933089087</c:v>
                </c:pt>
                <c:pt idx="3">
                  <c:v>-0.1154503614040325</c:v>
                </c:pt>
                <c:pt idx="4">
                  <c:v>-0.1154503614040325</c:v>
                </c:pt>
                <c:pt idx="5">
                  <c:v>-0.120473622826496</c:v>
                </c:pt>
                <c:pt idx="6">
                  <c:v>-0.12564542154908609</c:v>
                </c:pt>
                <c:pt idx="7">
                  <c:v>-0.12596950293118053</c:v>
                </c:pt>
                <c:pt idx="8">
                  <c:v>-0.12856215398793586</c:v>
                </c:pt>
                <c:pt idx="9">
                  <c:v>-0.13052014567142298</c:v>
                </c:pt>
                <c:pt idx="10">
                  <c:v>-0.13358541541039937</c:v>
                </c:pt>
                <c:pt idx="11">
                  <c:v>-0.13373395271052596</c:v>
                </c:pt>
                <c:pt idx="12">
                  <c:v>-0.13862218022378345</c:v>
                </c:pt>
                <c:pt idx="13">
                  <c:v>-0.14137687197158602</c:v>
                </c:pt>
                <c:pt idx="14">
                  <c:v>-0.14353741451888213</c:v>
                </c:pt>
                <c:pt idx="15">
                  <c:v>-0.18221112611548279</c:v>
                </c:pt>
                <c:pt idx="16">
                  <c:v>-0.18479027378131754</c:v>
                </c:pt>
                <c:pt idx="17">
                  <c:v>-0.18527639585445915</c:v>
                </c:pt>
                <c:pt idx="18">
                  <c:v>-0.18770700622016731</c:v>
                </c:pt>
                <c:pt idx="19">
                  <c:v>-0.19255472356066297</c:v>
                </c:pt>
                <c:pt idx="20">
                  <c:v>-0.1925682269515836</c:v>
                </c:pt>
                <c:pt idx="21">
                  <c:v>-0.19271676425171019</c:v>
                </c:pt>
                <c:pt idx="22">
                  <c:v>-0.19548495939043337</c:v>
                </c:pt>
                <c:pt idx="23">
                  <c:v>-0.19564700008148056</c:v>
                </c:pt>
                <c:pt idx="24">
                  <c:v>-0.19579553738160718</c:v>
                </c:pt>
                <c:pt idx="25">
                  <c:v>-0.19759148837404708</c:v>
                </c:pt>
                <c:pt idx="26">
                  <c:v>-0.19809111383810932</c:v>
                </c:pt>
                <c:pt idx="27">
                  <c:v>-0.19818563757455351</c:v>
                </c:pt>
                <c:pt idx="28">
                  <c:v>-0.20003560213067581</c:v>
                </c:pt>
                <c:pt idx="29">
                  <c:v>-0.20034618012184963</c:v>
                </c:pt>
                <c:pt idx="30">
                  <c:v>-0.20342495325174662</c:v>
                </c:pt>
                <c:pt idx="31">
                  <c:v>-0.20585556361745475</c:v>
                </c:pt>
                <c:pt idx="32">
                  <c:v>-0.20792158242830669</c:v>
                </c:pt>
                <c:pt idx="33">
                  <c:v>-0.20793508581922729</c:v>
                </c:pt>
                <c:pt idx="34">
                  <c:v>-0.20823216041948051</c:v>
                </c:pt>
                <c:pt idx="35">
                  <c:v>-0.21622616784447615</c:v>
                </c:pt>
                <c:pt idx="36">
                  <c:v>-0.21845422734637529</c:v>
                </c:pt>
                <c:pt idx="37">
                  <c:v>-0.2188188189012315</c:v>
                </c:pt>
                <c:pt idx="38">
                  <c:v>-0.22119541570325726</c:v>
                </c:pt>
                <c:pt idx="39">
                  <c:v>-0.22119541570325726</c:v>
                </c:pt>
                <c:pt idx="40">
                  <c:v>-0.22119541570325726</c:v>
                </c:pt>
                <c:pt idx="41">
                  <c:v>-0.22135745639430446</c:v>
                </c:pt>
                <c:pt idx="42">
                  <c:v>-0.22135745639430446</c:v>
                </c:pt>
                <c:pt idx="43">
                  <c:v>-0.22135745639430446</c:v>
                </c:pt>
                <c:pt idx="44">
                  <c:v>-0.2235179989416006</c:v>
                </c:pt>
                <c:pt idx="45">
                  <c:v>-0.22139796656706626</c:v>
                </c:pt>
                <c:pt idx="46">
                  <c:v>-0.22141146995798686</c:v>
                </c:pt>
                <c:pt idx="47">
                  <c:v>-0.22403112779658341</c:v>
                </c:pt>
                <c:pt idx="48">
                  <c:v>-0.22659677207149756</c:v>
                </c:pt>
                <c:pt idx="49">
                  <c:v>-0.22663728224425936</c:v>
                </c:pt>
                <c:pt idx="50">
                  <c:v>-0.22837921967301686</c:v>
                </c:pt>
                <c:pt idx="51">
                  <c:v>-0.22902738243720572</c:v>
                </c:pt>
                <c:pt idx="52">
                  <c:v>-0.22659677207149756</c:v>
                </c:pt>
                <c:pt idx="53">
                  <c:v>-0.22663728224425936</c:v>
                </c:pt>
                <c:pt idx="54">
                  <c:v>-0.22837921967301686</c:v>
                </c:pt>
                <c:pt idx="55">
                  <c:v>-0.22902738243720572</c:v>
                </c:pt>
                <c:pt idx="56">
                  <c:v>-0.23113391142081943</c:v>
                </c:pt>
                <c:pt idx="57">
                  <c:v>-0.23356452178652756</c:v>
                </c:pt>
                <c:pt idx="58">
                  <c:v>-0.234091154032431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4-4853-B66D-5D4BC5A89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8912"/>
        <c:axId val="1"/>
      </c:scatterChart>
      <c:valAx>
        <c:axId val="43362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9">
                  <c:v>-8.1568000001425389E-2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4">
                  <c:v>-4.65120000008028E-2</c:v>
                </c:pt>
                <c:pt idx="15">
                  <c:v>-0.1396560000066529</c:v>
                </c:pt>
                <c:pt idx="19">
                  <c:v>-0.1510920000000624</c:v>
                </c:pt>
                <c:pt idx="21">
                  <c:v>-0.14734400000452297</c:v>
                </c:pt>
                <c:pt idx="24">
                  <c:v>-0.15303200000198558</c:v>
                </c:pt>
                <c:pt idx="26">
                  <c:v>-0.15385199999582255</c:v>
                </c:pt>
                <c:pt idx="28">
                  <c:v>-0.15617599999677623</c:v>
                </c:pt>
                <c:pt idx="32">
                  <c:v>-0.16253000000142492</c:v>
                </c:pt>
                <c:pt idx="36">
                  <c:v>-0.17031999999744585</c:v>
                </c:pt>
                <c:pt idx="45">
                  <c:v>-0.1738480000058189</c:v>
                </c:pt>
                <c:pt idx="58">
                  <c:v>-0.18438799995055888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0-4B1C-BC18-DEA4091A0F0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3.8449851599262085E-2</c:v>
                </c:pt>
                <c:pt idx="1">
                  <c:v>3.3344862741168838E-2</c:v>
                </c:pt>
                <c:pt idx="2">
                  <c:v>-7.1208983614689511E-2</c:v>
                </c:pt>
                <c:pt idx="3">
                  <c:v>-7.1681424742944935E-2</c:v>
                </c:pt>
                <c:pt idx="4">
                  <c:v>-7.1681424742944935E-2</c:v>
                </c:pt>
                <c:pt idx="5">
                  <c:v>-7.656331640158423E-2</c:v>
                </c:pt>
                <c:pt idx="6">
                  <c:v>-8.1589565071634909E-2</c:v>
                </c:pt>
                <c:pt idx="7">
                  <c:v>-8.1904525823805183E-2</c:v>
                </c:pt>
                <c:pt idx="8">
                  <c:v>-8.4424211841167399E-2</c:v>
                </c:pt>
                <c:pt idx="9">
                  <c:v>-8.6327099718862835E-2</c:v>
                </c:pt>
                <c:pt idx="10">
                  <c:v>-8.9306103499806708E-2</c:v>
                </c:pt>
                <c:pt idx="11">
                  <c:v>-8.9450460511218091E-2</c:v>
                </c:pt>
                <c:pt idx="12">
                  <c:v>-9.4201118523119756E-2</c:v>
                </c:pt>
                <c:pt idx="13">
                  <c:v>-9.6878284916567123E-2</c:v>
                </c:pt>
                <c:pt idx="14">
                  <c:v>-9.8978023264368983E-2</c:v>
                </c:pt>
                <c:pt idx="15">
                  <c:v>-0.1365633396900221</c:v>
                </c:pt>
                <c:pt idx="16">
                  <c:v>-0.13906990234271055</c:v>
                </c:pt>
                <c:pt idx="17">
                  <c:v>-0.13954234347096595</c:v>
                </c:pt>
                <c:pt idx="18">
                  <c:v>-0.14190454911224304</c:v>
                </c:pt>
                <c:pt idx="19">
                  <c:v>-0.14661583703012343</c:v>
                </c:pt>
                <c:pt idx="20">
                  <c:v>-0.14662896039479723</c:v>
                </c:pt>
                <c:pt idx="21">
                  <c:v>-0.14677331740620858</c:v>
                </c:pt>
                <c:pt idx="22">
                  <c:v>-0.14946360716432971</c:v>
                </c:pt>
                <c:pt idx="23">
                  <c:v>-0.14962108754041481</c:v>
                </c:pt>
                <c:pt idx="24">
                  <c:v>-0.14976544455182622</c:v>
                </c:pt>
                <c:pt idx="25">
                  <c:v>-0.15151085205343651</c:v>
                </c:pt>
                <c:pt idx="26">
                  <c:v>-0.1519964165463657</c:v>
                </c:pt>
                <c:pt idx="27">
                  <c:v>-0.15208828009908198</c:v>
                </c:pt>
                <c:pt idx="28">
                  <c:v>-0.15388618105938734</c:v>
                </c:pt>
                <c:pt idx="29">
                  <c:v>-0.15418801844688385</c:v>
                </c:pt>
                <c:pt idx="30">
                  <c:v>-0.15718014559250149</c:v>
                </c:pt>
                <c:pt idx="31">
                  <c:v>-0.15954235123377858</c:v>
                </c:pt>
                <c:pt idx="32">
                  <c:v>-0.1615502260288641</c:v>
                </c:pt>
                <c:pt idx="33">
                  <c:v>-0.16156334939353784</c:v>
                </c:pt>
                <c:pt idx="34">
                  <c:v>-0.1618520634163606</c:v>
                </c:pt>
                <c:pt idx="35">
                  <c:v>-0.16962109530322744</c:v>
                </c:pt>
                <c:pt idx="36">
                  <c:v>-0.17178645047439811</c:v>
                </c:pt>
                <c:pt idx="37">
                  <c:v>-0.17214078132058969</c:v>
                </c:pt>
                <c:pt idx="38">
                  <c:v>-0.17445049350317171</c:v>
                </c:pt>
                <c:pt idx="39">
                  <c:v>-0.17445049350317171</c:v>
                </c:pt>
                <c:pt idx="40">
                  <c:v>-0.17445049350317171</c:v>
                </c:pt>
                <c:pt idx="41">
                  <c:v>-0.17460797387925686</c:v>
                </c:pt>
                <c:pt idx="42">
                  <c:v>-0.17460797387925686</c:v>
                </c:pt>
                <c:pt idx="43">
                  <c:v>-0.17460797387925686</c:v>
                </c:pt>
                <c:pt idx="44">
                  <c:v>-0.17670771222705872</c:v>
                </c:pt>
                <c:pt idx="45">
                  <c:v>-0.17464734397327814</c:v>
                </c:pt>
                <c:pt idx="46">
                  <c:v>-0.17466046733795187</c:v>
                </c:pt>
                <c:pt idx="47">
                  <c:v>-0.17720640008466165</c:v>
                </c:pt>
                <c:pt idx="48">
                  <c:v>-0.17969983937267631</c:v>
                </c:pt>
                <c:pt idx="49">
                  <c:v>-0.17973920946669764</c:v>
                </c:pt>
                <c:pt idx="50">
                  <c:v>-0.18143212350961285</c:v>
                </c:pt>
                <c:pt idx="51">
                  <c:v>-0.1820620450139534</c:v>
                </c:pt>
                <c:pt idx="52">
                  <c:v>-0.17969983937267631</c:v>
                </c:pt>
                <c:pt idx="53">
                  <c:v>-0.17973920946669764</c:v>
                </c:pt>
                <c:pt idx="54">
                  <c:v>-0.18143212350961285</c:v>
                </c:pt>
                <c:pt idx="55">
                  <c:v>-0.1820620450139534</c:v>
                </c:pt>
                <c:pt idx="56">
                  <c:v>-0.18410928990306019</c:v>
                </c:pt>
                <c:pt idx="57">
                  <c:v>-0.18647149554433728</c:v>
                </c:pt>
                <c:pt idx="58">
                  <c:v>-0.18698330676661401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0-4B1C-BC18-DEA4091A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632"/>
        <c:axId val="1"/>
      </c:scatterChart>
      <c:valAx>
        <c:axId val="4336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47625</xdr:rowOff>
    </xdr:from>
    <xdr:to>
      <xdr:col>20</xdr:col>
      <xdr:colOff>247650</xdr:colOff>
      <xdr:row>18</xdr:row>
      <xdr:rowOff>133350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5E70271-B898-3894-51AB-D22CA91D2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13</xdr:col>
      <xdr:colOff>323850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A15BD-6AAE-4696-B15B-AC2536162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361949</xdr:colOff>
      <xdr:row>22</xdr:row>
      <xdr:rowOff>142875</xdr:rowOff>
    </xdr:from>
    <xdr:to>
      <xdr:col>13</xdr:col>
      <xdr:colOff>295274</xdr:colOff>
      <xdr:row>42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9C7E4E-D2EB-36AD-B28D-74BA6A69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I74" sqref="I74"/>
    </sheetView>
  </sheetViews>
  <sheetFormatPr defaultColWidth="10.28515625" defaultRowHeight="12.75"/>
  <cols>
    <col min="1" max="1" width="16.5703125" customWidth="1"/>
    <col min="2" max="2" width="3.85546875" customWidth="1"/>
    <col min="3" max="3" width="12.1406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20</v>
      </c>
      <c r="B2" s="27" t="s">
        <v>44</v>
      </c>
    </row>
    <row r="3" spans="1:6" ht="13.5" thickBot="1"/>
    <row r="4" spans="1:6" ht="14.25" thickTop="1" thickBot="1">
      <c r="A4" s="6" t="s">
        <v>3</v>
      </c>
      <c r="C4" s="3">
        <v>27124.870999999999</v>
      </c>
      <c r="D4" s="4">
        <v>1.911446</v>
      </c>
    </row>
    <row r="5" spans="1:6" ht="13.5" thickTop="1">
      <c r="A5" s="20" t="s">
        <v>35</v>
      </c>
      <c r="B5" s="14"/>
      <c r="C5" s="21">
        <v>-9.5</v>
      </c>
      <c r="D5" s="14" t="s">
        <v>36</v>
      </c>
    </row>
    <row r="6" spans="1:6">
      <c r="A6" s="6" t="s">
        <v>4</v>
      </c>
    </row>
    <row r="7" spans="1:6">
      <c r="A7" t="s">
        <v>5</v>
      </c>
      <c r="C7">
        <f>E7-C8/2</f>
        <v>27122.959554000001</v>
      </c>
      <c r="E7">
        <v>27124.870999999999</v>
      </c>
    </row>
    <row r="8" spans="1:6">
      <c r="A8" t="s">
        <v>6</v>
      </c>
      <c r="C8">
        <f>2*E8</f>
        <v>3.822892</v>
      </c>
      <c r="E8">
        <v>1.911446</v>
      </c>
    </row>
    <row r="9" spans="1:6">
      <c r="A9" s="12" t="s">
        <v>32</v>
      </c>
      <c r="B9" s="12"/>
      <c r="C9" s="13">
        <v>21</v>
      </c>
      <c r="D9" s="13">
        <v>21</v>
      </c>
    </row>
    <row r="10" spans="1:6" ht="13.5" thickBot="1">
      <c r="A10" s="14"/>
      <c r="B10" s="14"/>
      <c r="C10" s="5" t="s">
        <v>22</v>
      </c>
      <c r="D10" s="5" t="s">
        <v>23</v>
      </c>
    </row>
    <row r="11" spans="1:6">
      <c r="A11" s="14" t="s">
        <v>17</v>
      </c>
      <c r="B11" s="14"/>
      <c r="C11" s="15">
        <f ca="1">INTERCEPT(INDIRECT(C14):R$935,INDIRECT(C13):$F$935)</f>
        <v>-2.1164014074301074E-3</v>
      </c>
      <c r="D11" s="15">
        <f ca="1">INTERCEPT(INDIRECT(D14):S$935,INDIRECT(D13):$F$935)</f>
        <v>3.8462974963935845E-2</v>
      </c>
      <c r="E11" s="12" t="s">
        <v>38</v>
      </c>
      <c r="F11">
        <v>1</v>
      </c>
    </row>
    <row r="12" spans="1:6">
      <c r="A12" s="14" t="s">
        <v>18</v>
      </c>
      <c r="B12" s="14"/>
      <c r="C12" s="15">
        <f ca="1">SLOPE(INDIRECT(C14):R$935,INDIRECT(C13):$F$935)</f>
        <v>-2.7006781841201571E-5</v>
      </c>
      <c r="D12" s="15">
        <f ca="1">SLOPE(INDIRECT(D14):S$935,INDIRECT(D13):$F$935)</f>
        <v>-2.624672934752312E-5</v>
      </c>
      <c r="E12" s="12" t="s">
        <v>39</v>
      </c>
      <c r="F12" s="22">
        <f ca="1">NOW()+15018.5+$C$5/24</f>
        <v>60335.747707986106</v>
      </c>
    </row>
    <row r="13" spans="1:6">
      <c r="A13" s="12" t="s">
        <v>33</v>
      </c>
      <c r="B13" s="12"/>
      <c r="C13" s="13" t="str">
        <f>"F"&amp;C9</f>
        <v>F21</v>
      </c>
      <c r="D13" s="13" t="str">
        <f>"F"&amp;D9</f>
        <v>F21</v>
      </c>
      <c r="E13" s="12" t="s">
        <v>40</v>
      </c>
      <c r="F13" s="22">
        <f ca="1">ROUND(2*(F12-$C$7)/$C$8,0)/2+F11</f>
        <v>8689</v>
      </c>
    </row>
    <row r="14" spans="1:6">
      <c r="A14" s="12" t="s">
        <v>34</v>
      </c>
      <c r="B14" s="12"/>
      <c r="C14" s="13" t="str">
        <f>"R"&amp;C9</f>
        <v>R21</v>
      </c>
      <c r="D14" s="13" t="str">
        <f>"S"&amp;D9</f>
        <v>S21</v>
      </c>
      <c r="E14" s="12" t="s">
        <v>41</v>
      </c>
      <c r="F14" s="23">
        <f ca="1">ROUND(2*(F12-$C$15)/$C$16,0)/2+F11</f>
        <v>100</v>
      </c>
    </row>
    <row r="15" spans="1:6">
      <c r="A15" s="16" t="s">
        <v>19</v>
      </c>
      <c r="B15" s="14"/>
      <c r="C15" s="17">
        <f ca="1">($C7+C11)+($C8+C12)*INT(MAX($F21:$F3533))</f>
        <v>59957.544864349358</v>
      </c>
      <c r="D15" s="17">
        <f ca="1">($C7+D11)+($C8+D12)*INT(MAX($F21:$F3533))</f>
        <v>59957.591971816597</v>
      </c>
      <c r="E15" s="12" t="s">
        <v>42</v>
      </c>
      <c r="F15" s="24">
        <f ca="1">+$C$15+$C$16*F14-15018.5-$C$5/24</f>
        <v>45321.727197004511</v>
      </c>
    </row>
    <row r="16" spans="1:6">
      <c r="A16" s="18" t="s">
        <v>7</v>
      </c>
      <c r="B16" s="14"/>
      <c r="C16" s="19">
        <f ca="1">+$C8+C12</f>
        <v>3.8228649932181589</v>
      </c>
      <c r="D16" s="15">
        <f ca="1">+$C8+D12</f>
        <v>3.8228657532706523</v>
      </c>
      <c r="E16" s="25"/>
      <c r="F16" s="25" t="s">
        <v>37</v>
      </c>
    </row>
    <row r="17" spans="1:21" ht="13.5" thickBot="1">
      <c r="A17" s="11" t="s">
        <v>31</v>
      </c>
      <c r="C17">
        <f>COUNT(C21:C1247)</f>
        <v>59</v>
      </c>
    </row>
    <row r="18" spans="1:21" ht="14.25" thickTop="1" thickBot="1">
      <c r="A18" s="6" t="s">
        <v>25</v>
      </c>
      <c r="C18" s="3">
        <f ca="1">+C15</f>
        <v>59957.544864349358</v>
      </c>
      <c r="D18" s="4">
        <f ca="1">+C16</f>
        <v>3.8228649932181589</v>
      </c>
      <c r="E18" s="26">
        <f>R19</f>
        <v>40</v>
      </c>
    </row>
    <row r="19" spans="1:21" ht="14.25" thickTop="1" thickBot="1">
      <c r="A19" s="6" t="s">
        <v>26</v>
      </c>
      <c r="C19" s="3">
        <f ca="1">+D15</f>
        <v>59957.591971816597</v>
      </c>
      <c r="D19" s="4">
        <f ca="1">+D16</f>
        <v>3.8228657532706523</v>
      </c>
      <c r="E19" s="26">
        <f>S19</f>
        <v>19</v>
      </c>
      <c r="R19">
        <f>COUNT(R21:R322)</f>
        <v>40</v>
      </c>
      <c r="S19">
        <f>COUNT(S21:S322)</f>
        <v>19</v>
      </c>
    </row>
    <row r="20" spans="1:21" ht="14.25" thickTop="1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7" t="s">
        <v>22</v>
      </c>
      <c r="S20" s="7" t="s">
        <v>23</v>
      </c>
      <c r="U20" s="52" t="s">
        <v>184</v>
      </c>
    </row>
    <row r="21" spans="1:21">
      <c r="A21" t="s">
        <v>14</v>
      </c>
      <c r="C21" s="10">
        <v>27124.870999999999</v>
      </c>
      <c r="D21" s="10" t="s">
        <v>30</v>
      </c>
      <c r="E21">
        <f t="shared" ref="E21:E65" si="0">+(C21-C$7)/C$8</f>
        <v>0.49999999999954226</v>
      </c>
      <c r="F21">
        <f t="shared" ref="F21:F70" si="1">ROUND(2*E21,0)/2</f>
        <v>0.5</v>
      </c>
      <c r="G21">
        <f t="shared" ref="G21:G65" si="2">+C21-(C$7+F21*C$8)</f>
        <v>0</v>
      </c>
      <c r="H21">
        <f>+G21</f>
        <v>0</v>
      </c>
      <c r="O21">
        <f t="shared" ref="O21:O65" ca="1" si="3">+C$11+C$12*$F21</f>
        <v>-2.1299047983507082E-3</v>
      </c>
      <c r="P21">
        <f t="shared" ref="P21:P65" ca="1" si="4">+D$11+D$12*$F21</f>
        <v>3.8449851599262085E-2</v>
      </c>
      <c r="Q21" s="2">
        <f t="shared" ref="Q21:Q65" si="5">+C21-15018.5</f>
        <v>12106.370999999999</v>
      </c>
      <c r="R21">
        <f>G21</f>
        <v>0</v>
      </c>
    </row>
    <row r="22" spans="1:21">
      <c r="A22" s="48" t="s">
        <v>71</v>
      </c>
      <c r="B22" s="49" t="s">
        <v>47</v>
      </c>
      <c r="C22" s="50">
        <v>27868.402999999998</v>
      </c>
      <c r="D22" s="50" t="s">
        <v>65</v>
      </c>
      <c r="E22">
        <f t="shared" si="0"/>
        <v>194.99463913707149</v>
      </c>
      <c r="F22">
        <f t="shared" si="1"/>
        <v>195</v>
      </c>
      <c r="G22">
        <f t="shared" si="2"/>
        <v>-2.0494000003964175E-2</v>
      </c>
      <c r="I22">
        <f t="shared" ref="I22:I34" si="6">+G22</f>
        <v>-2.0494000003964175E-2</v>
      </c>
      <c r="O22">
        <f t="shared" ca="1" si="3"/>
        <v>-7.382723866464414E-3</v>
      </c>
      <c r="P22">
        <f t="shared" ca="1" si="4"/>
        <v>3.3344862741168838E-2</v>
      </c>
      <c r="Q22" s="2">
        <f t="shared" si="5"/>
        <v>12849.902999999998</v>
      </c>
      <c r="R22">
        <f>G22</f>
        <v>-2.0494000003964175E-2</v>
      </c>
    </row>
    <row r="23" spans="1:21">
      <c r="A23" s="51" t="s">
        <v>79</v>
      </c>
      <c r="B23" s="49" t="s">
        <v>54</v>
      </c>
      <c r="C23" s="50">
        <v>43096.843999999997</v>
      </c>
      <c r="D23" s="50" t="s">
        <v>65</v>
      </c>
      <c r="E23">
        <f t="shared" si="0"/>
        <v>4178.4817478495333</v>
      </c>
      <c r="F23">
        <f t="shared" si="1"/>
        <v>4178.5</v>
      </c>
      <c r="G23">
        <f t="shared" si="2"/>
        <v>-6.9776000003912486E-2</v>
      </c>
      <c r="I23">
        <f t="shared" si="6"/>
        <v>-6.9776000003912486E-2</v>
      </c>
      <c r="O23">
        <f t="shared" ca="1" si="3"/>
        <v>-0.11496423933089087</v>
      </c>
      <c r="P23">
        <f t="shared" ca="1" si="4"/>
        <v>-7.1208983614689511E-2</v>
      </c>
      <c r="Q23" s="2">
        <f t="shared" si="5"/>
        <v>28078.343999999997</v>
      </c>
      <c r="S23">
        <f>G23</f>
        <v>-6.9776000003912486E-2</v>
      </c>
    </row>
    <row r="24" spans="1:21">
      <c r="A24" s="51" t="s">
        <v>79</v>
      </c>
      <c r="B24" s="49" t="s">
        <v>54</v>
      </c>
      <c r="C24" s="50">
        <v>43165.637999999999</v>
      </c>
      <c r="D24" s="50" t="s">
        <v>65</v>
      </c>
      <c r="E24">
        <f t="shared" si="0"/>
        <v>4196.4770247236902</v>
      </c>
      <c r="F24">
        <f t="shared" si="1"/>
        <v>4196.5</v>
      </c>
      <c r="G24">
        <f t="shared" si="2"/>
        <v>-8.7831999997433741E-2</v>
      </c>
      <c r="I24">
        <f t="shared" si="6"/>
        <v>-8.7831999997433741E-2</v>
      </c>
      <c r="O24">
        <f t="shared" ca="1" si="3"/>
        <v>-0.1154503614040325</v>
      </c>
      <c r="P24">
        <f t="shared" ca="1" si="4"/>
        <v>-7.1681424742944935E-2</v>
      </c>
      <c r="Q24" s="2">
        <f t="shared" si="5"/>
        <v>28147.137999999999</v>
      </c>
      <c r="S24">
        <f>G24</f>
        <v>-8.7831999997433741E-2</v>
      </c>
    </row>
    <row r="25" spans="1:21">
      <c r="A25" s="51" t="s">
        <v>79</v>
      </c>
      <c r="B25" s="49" t="s">
        <v>54</v>
      </c>
      <c r="C25" s="50">
        <v>43165.661999999997</v>
      </c>
      <c r="D25" s="50" t="s">
        <v>65</v>
      </c>
      <c r="E25">
        <f t="shared" si="0"/>
        <v>4196.4833026933529</v>
      </c>
      <c r="F25">
        <f t="shared" si="1"/>
        <v>4196.5</v>
      </c>
      <c r="G25">
        <f t="shared" si="2"/>
        <v>-6.3831999999820255E-2</v>
      </c>
      <c r="I25">
        <f t="shared" si="6"/>
        <v>-6.3831999999820255E-2</v>
      </c>
      <c r="O25">
        <f t="shared" ca="1" si="3"/>
        <v>-0.1154503614040325</v>
      </c>
      <c r="P25">
        <f t="shared" ca="1" si="4"/>
        <v>-7.1681424742944935E-2</v>
      </c>
      <c r="Q25" s="2">
        <f t="shared" si="5"/>
        <v>28147.161999999997</v>
      </c>
      <c r="S25">
        <f>G25</f>
        <v>-6.3831999999820255E-2</v>
      </c>
    </row>
    <row r="26" spans="1:21">
      <c r="A26" s="51" t="s">
        <v>79</v>
      </c>
      <c r="B26" s="49" t="s">
        <v>54</v>
      </c>
      <c r="C26" s="50">
        <v>43876.71</v>
      </c>
      <c r="D26" s="50" t="s">
        <v>65</v>
      </c>
      <c r="E26">
        <f t="shared" si="0"/>
        <v>4382.4807098918827</v>
      </c>
      <c r="F26">
        <f t="shared" si="1"/>
        <v>4382.5</v>
      </c>
      <c r="G26">
        <f t="shared" si="2"/>
        <v>-7.3744000001170207E-2</v>
      </c>
      <c r="I26">
        <f t="shared" si="6"/>
        <v>-7.3744000001170207E-2</v>
      </c>
      <c r="O26">
        <f t="shared" ca="1" si="3"/>
        <v>-0.120473622826496</v>
      </c>
      <c r="P26">
        <f t="shared" ca="1" si="4"/>
        <v>-7.656331640158423E-2</v>
      </c>
      <c r="Q26" s="2">
        <f t="shared" si="5"/>
        <v>28858.21</v>
      </c>
      <c r="S26">
        <f>G26</f>
        <v>-7.3744000001170207E-2</v>
      </c>
    </row>
    <row r="27" spans="1:21">
      <c r="A27" s="51" t="s">
        <v>79</v>
      </c>
      <c r="B27" s="49" t="s">
        <v>47</v>
      </c>
      <c r="C27" s="50">
        <v>44608.762999999999</v>
      </c>
      <c r="D27" s="50" t="s">
        <v>65</v>
      </c>
      <c r="E27">
        <f t="shared" si="0"/>
        <v>4573.9726484556713</v>
      </c>
      <c r="F27">
        <f t="shared" si="1"/>
        <v>4574</v>
      </c>
      <c r="G27">
        <f t="shared" si="2"/>
        <v>-0.10456200000044191</v>
      </c>
      <c r="I27">
        <f t="shared" si="6"/>
        <v>-0.10456200000044191</v>
      </c>
      <c r="O27">
        <f t="shared" ca="1" si="3"/>
        <v>-0.12564542154908609</v>
      </c>
      <c r="P27">
        <f t="shared" ca="1" si="4"/>
        <v>-8.1589565071634909E-2</v>
      </c>
      <c r="Q27" s="2">
        <f t="shared" si="5"/>
        <v>29590.262999999999</v>
      </c>
      <c r="R27">
        <f>G27</f>
        <v>-0.10456200000044191</v>
      </c>
    </row>
    <row r="28" spans="1:21">
      <c r="A28" s="51" t="s">
        <v>79</v>
      </c>
      <c r="B28" s="49" t="s">
        <v>47</v>
      </c>
      <c r="C28" s="50">
        <v>44654.624000000003</v>
      </c>
      <c r="D28" s="50" t="s">
        <v>65</v>
      </c>
      <c r="E28">
        <f t="shared" si="0"/>
        <v>4585.969063734995</v>
      </c>
      <c r="F28">
        <f t="shared" si="1"/>
        <v>4586</v>
      </c>
      <c r="G28">
        <f t="shared" si="2"/>
        <v>-0.11826599999767495</v>
      </c>
      <c r="I28">
        <f t="shared" si="6"/>
        <v>-0.11826599999767495</v>
      </c>
      <c r="O28">
        <f t="shared" ca="1" si="3"/>
        <v>-0.12596950293118053</v>
      </c>
      <c r="P28">
        <f t="shared" ca="1" si="4"/>
        <v>-8.1904525823805183E-2</v>
      </c>
      <c r="Q28" s="2">
        <f t="shared" si="5"/>
        <v>29636.124000000003</v>
      </c>
      <c r="R28">
        <f>G28</f>
        <v>-0.11826599999767495</v>
      </c>
    </row>
    <row r="29" spans="1:21">
      <c r="A29" s="51" t="s">
        <v>79</v>
      </c>
      <c r="B29" s="49" t="s">
        <v>47</v>
      </c>
      <c r="C29" s="50">
        <v>45021.623</v>
      </c>
      <c r="D29" s="50" t="s">
        <v>65</v>
      </c>
      <c r="E29">
        <f t="shared" si="0"/>
        <v>4681.9694215792651</v>
      </c>
      <c r="F29">
        <f t="shared" si="1"/>
        <v>4682</v>
      </c>
      <c r="G29">
        <f t="shared" si="2"/>
        <v>-0.11689800000021933</v>
      </c>
      <c r="I29">
        <f t="shared" si="6"/>
        <v>-0.11689800000021933</v>
      </c>
      <c r="O29">
        <f t="shared" ca="1" si="3"/>
        <v>-0.12856215398793586</v>
      </c>
      <c r="P29">
        <f t="shared" ca="1" si="4"/>
        <v>-8.4424211841167399E-2</v>
      </c>
      <c r="Q29" s="2">
        <f t="shared" si="5"/>
        <v>30003.123</v>
      </c>
      <c r="R29">
        <f>G29</f>
        <v>-0.11689800000021933</v>
      </c>
    </row>
    <row r="30" spans="1:21">
      <c r="A30" s="51" t="s">
        <v>79</v>
      </c>
      <c r="B30" s="49" t="s">
        <v>54</v>
      </c>
      <c r="C30" s="50">
        <v>45298.817999999999</v>
      </c>
      <c r="D30" s="50" t="s">
        <v>65</v>
      </c>
      <c r="E30">
        <f t="shared" si="0"/>
        <v>4754.4786632737723</v>
      </c>
      <c r="F30">
        <f t="shared" si="1"/>
        <v>4754.5</v>
      </c>
      <c r="G30">
        <f t="shared" si="2"/>
        <v>-8.1568000001425389E-2</v>
      </c>
      <c r="I30">
        <f t="shared" si="6"/>
        <v>-8.1568000001425389E-2</v>
      </c>
      <c r="O30">
        <f t="shared" ca="1" si="3"/>
        <v>-0.13052014567142298</v>
      </c>
      <c r="P30">
        <f t="shared" ca="1" si="4"/>
        <v>-8.6327099718862835E-2</v>
      </c>
      <c r="Q30" s="2">
        <f t="shared" si="5"/>
        <v>30280.317999999999</v>
      </c>
      <c r="S30">
        <f>G30</f>
        <v>-8.1568000001425389E-2</v>
      </c>
    </row>
    <row r="31" spans="1:21">
      <c r="A31" s="51" t="s">
        <v>79</v>
      </c>
      <c r="B31" s="49" t="s">
        <v>47</v>
      </c>
      <c r="C31" s="50">
        <v>45732.665000000001</v>
      </c>
      <c r="D31" s="50" t="s">
        <v>65</v>
      </c>
      <c r="E31">
        <f t="shared" si="0"/>
        <v>4867.965259285379</v>
      </c>
      <c r="F31">
        <f t="shared" si="1"/>
        <v>4868</v>
      </c>
      <c r="G31">
        <f t="shared" si="2"/>
        <v>-0.13281000000279164</v>
      </c>
      <c r="I31">
        <f t="shared" si="6"/>
        <v>-0.13281000000279164</v>
      </c>
      <c r="O31">
        <f t="shared" ca="1" si="3"/>
        <v>-0.13358541541039937</v>
      </c>
      <c r="P31">
        <f t="shared" ca="1" si="4"/>
        <v>-8.9306103499806708E-2</v>
      </c>
      <c r="Q31" s="2">
        <f t="shared" si="5"/>
        <v>30714.165000000001</v>
      </c>
      <c r="R31">
        <f>G31</f>
        <v>-0.13281000000279164</v>
      </c>
    </row>
    <row r="32" spans="1:21">
      <c r="A32" s="51" t="s">
        <v>79</v>
      </c>
      <c r="B32" s="49" t="s">
        <v>54</v>
      </c>
      <c r="C32" s="50">
        <v>45753.699000000001</v>
      </c>
      <c r="D32" s="50" t="s">
        <v>65</v>
      </c>
      <c r="E32">
        <f t="shared" si="0"/>
        <v>4873.467376530647</v>
      </c>
      <c r="F32">
        <f t="shared" si="1"/>
        <v>4873.5</v>
      </c>
      <c r="G32">
        <f t="shared" si="2"/>
        <v>-0.12471599999844329</v>
      </c>
      <c r="I32">
        <f t="shared" si="6"/>
        <v>-0.12471599999844329</v>
      </c>
      <c r="O32">
        <f t="shared" ca="1" si="3"/>
        <v>-0.13373395271052596</v>
      </c>
      <c r="P32">
        <f t="shared" ca="1" si="4"/>
        <v>-8.9450460511218091E-2</v>
      </c>
      <c r="Q32" s="2">
        <f t="shared" si="5"/>
        <v>30735.199000000001</v>
      </c>
      <c r="S32">
        <f>G32</f>
        <v>-0.12471599999844329</v>
      </c>
    </row>
    <row r="33" spans="1:21">
      <c r="A33" s="51" t="s">
        <v>79</v>
      </c>
      <c r="B33" s="49" t="s">
        <v>54</v>
      </c>
      <c r="C33" s="50">
        <v>46445.673000000003</v>
      </c>
      <c r="D33" s="50" t="s">
        <v>65</v>
      </c>
      <c r="E33">
        <f t="shared" si="0"/>
        <v>5054.4753673396999</v>
      </c>
      <c r="F33">
        <f t="shared" si="1"/>
        <v>5054.5</v>
      </c>
      <c r="G33">
        <f t="shared" si="2"/>
        <v>-9.4168000003264751E-2</v>
      </c>
      <c r="I33">
        <f t="shared" si="6"/>
        <v>-9.4168000003264751E-2</v>
      </c>
      <c r="O33">
        <f t="shared" ca="1" si="3"/>
        <v>-0.13862218022378345</v>
      </c>
      <c r="P33">
        <f t="shared" ca="1" si="4"/>
        <v>-9.4201118523119756E-2</v>
      </c>
      <c r="Q33" s="2">
        <f t="shared" si="5"/>
        <v>31427.173000000003</v>
      </c>
      <c r="S33">
        <f>G33</f>
        <v>-9.4168000003264751E-2</v>
      </c>
    </row>
    <row r="34" spans="1:21">
      <c r="A34" s="51" t="s">
        <v>79</v>
      </c>
      <c r="B34" s="49" t="s">
        <v>54</v>
      </c>
      <c r="C34" s="50">
        <v>46835.599000000002</v>
      </c>
      <c r="D34" s="50" t="s">
        <v>65</v>
      </c>
      <c r="E34">
        <f t="shared" si="0"/>
        <v>5156.4730172863901</v>
      </c>
      <c r="F34">
        <f t="shared" si="1"/>
        <v>5156.5</v>
      </c>
      <c r="G34">
        <f t="shared" si="2"/>
        <v>-0.10315199999604374</v>
      </c>
      <c r="I34">
        <f t="shared" si="6"/>
        <v>-0.10315199999604374</v>
      </c>
      <c r="O34">
        <f t="shared" ca="1" si="3"/>
        <v>-0.14137687197158602</v>
      </c>
      <c r="P34">
        <f t="shared" ca="1" si="4"/>
        <v>-9.6878284916567123E-2</v>
      </c>
      <c r="Q34" s="2">
        <f t="shared" si="5"/>
        <v>31817.099000000002</v>
      </c>
      <c r="S34">
        <f>G34</f>
        <v>-0.10315199999604374</v>
      </c>
    </row>
    <row r="35" spans="1:21">
      <c r="A35" s="28" t="s">
        <v>45</v>
      </c>
      <c r="B35" s="28"/>
      <c r="C35" s="29">
        <v>47141.487000000001</v>
      </c>
      <c r="D35" s="30"/>
      <c r="E35">
        <f t="shared" si="0"/>
        <v>5236.4878332947937</v>
      </c>
      <c r="F35">
        <f t="shared" si="1"/>
        <v>5236.5</v>
      </c>
      <c r="G35">
        <f t="shared" si="2"/>
        <v>-4.65120000008028E-2</v>
      </c>
      <c r="O35">
        <f t="shared" ca="1" si="3"/>
        <v>-0.14353741451888213</v>
      </c>
      <c r="P35">
        <f t="shared" ca="1" si="4"/>
        <v>-9.8978023264368983E-2</v>
      </c>
      <c r="Q35" s="2">
        <f t="shared" si="5"/>
        <v>32122.987000000001</v>
      </c>
      <c r="S35">
        <f>G35</f>
        <v>-4.65120000008028E-2</v>
      </c>
      <c r="U35">
        <f>+G35</f>
        <v>-4.65120000008028E-2</v>
      </c>
    </row>
    <row r="36" spans="1:21">
      <c r="A36" s="51" t="s">
        <v>122</v>
      </c>
      <c r="B36" s="49" t="s">
        <v>54</v>
      </c>
      <c r="C36" s="50">
        <v>52615.775199999996</v>
      </c>
      <c r="D36" s="50" t="s">
        <v>65</v>
      </c>
      <c r="E36">
        <f t="shared" si="0"/>
        <v>6668.4634684945313</v>
      </c>
      <c r="F36">
        <f t="shared" si="1"/>
        <v>6668.5</v>
      </c>
      <c r="G36">
        <f t="shared" si="2"/>
        <v>-0.1396560000066529</v>
      </c>
      <c r="I36">
        <f>+G36</f>
        <v>-0.1396560000066529</v>
      </c>
      <c r="O36">
        <f t="shared" ca="1" si="3"/>
        <v>-0.18221112611548279</v>
      </c>
      <c r="P36">
        <f t="shared" ca="1" si="4"/>
        <v>-0.1365633396900221</v>
      </c>
      <c r="Q36" s="2">
        <f t="shared" si="5"/>
        <v>37597.275199999996</v>
      </c>
      <c r="S36">
        <f>G36</f>
        <v>-0.1396560000066529</v>
      </c>
    </row>
    <row r="37" spans="1:21">
      <c r="A37" s="30" t="s">
        <v>46</v>
      </c>
      <c r="B37" s="31" t="s">
        <v>47</v>
      </c>
      <c r="C37" s="32">
        <v>52980.810700000002</v>
      </c>
      <c r="D37" s="30">
        <v>1E-4</v>
      </c>
      <c r="E37">
        <f t="shared" si="0"/>
        <v>6763.9502099457695</v>
      </c>
      <c r="F37">
        <f t="shared" si="1"/>
        <v>6764</v>
      </c>
      <c r="G37">
        <f t="shared" si="2"/>
        <v>-0.19034200000169221</v>
      </c>
      <c r="K37">
        <f>+G37</f>
        <v>-0.19034200000169221</v>
      </c>
      <c r="O37">
        <f t="shared" ca="1" si="3"/>
        <v>-0.18479027378131754</v>
      </c>
      <c r="P37">
        <f t="shared" ca="1" si="4"/>
        <v>-0.13906990234271055</v>
      </c>
      <c r="Q37" s="2">
        <f t="shared" si="5"/>
        <v>37962.310700000002</v>
      </c>
      <c r="R37">
        <f>G37</f>
        <v>-0.19034200000169221</v>
      </c>
    </row>
    <row r="38" spans="1:21">
      <c r="A38" s="51" t="s">
        <v>79</v>
      </c>
      <c r="B38" s="49" t="s">
        <v>47</v>
      </c>
      <c r="C38" s="50">
        <v>53049.622199999998</v>
      </c>
      <c r="D38" s="50" t="s">
        <v>65</v>
      </c>
      <c r="E38">
        <f t="shared" si="0"/>
        <v>6781.950064506138</v>
      </c>
      <c r="F38">
        <f t="shared" si="1"/>
        <v>6782</v>
      </c>
      <c r="G38">
        <f t="shared" si="2"/>
        <v>-0.1908980000007432</v>
      </c>
      <c r="I38">
        <f>+G38</f>
        <v>-0.1908980000007432</v>
      </c>
      <c r="O38">
        <f t="shared" ca="1" si="3"/>
        <v>-0.18527639585445915</v>
      </c>
      <c r="P38">
        <f t="shared" ca="1" si="4"/>
        <v>-0.13954234347096595</v>
      </c>
      <c r="Q38" s="2">
        <f t="shared" si="5"/>
        <v>38031.122199999998</v>
      </c>
      <c r="R38">
        <f>G38</f>
        <v>-0.1908980000007432</v>
      </c>
    </row>
    <row r="39" spans="1:21">
      <c r="A39" s="51" t="s">
        <v>79</v>
      </c>
      <c r="B39" s="49" t="s">
        <v>47</v>
      </c>
      <c r="C39" s="50">
        <v>53393.679100000001</v>
      </c>
      <c r="D39" s="50" t="s">
        <v>65</v>
      </c>
      <c r="E39">
        <f t="shared" si="0"/>
        <v>6871.9491803587443</v>
      </c>
      <c r="F39">
        <f t="shared" si="1"/>
        <v>6872</v>
      </c>
      <c r="G39">
        <f t="shared" si="2"/>
        <v>-0.1942780000026687</v>
      </c>
      <c r="I39">
        <f>+G39</f>
        <v>-0.1942780000026687</v>
      </c>
      <c r="O39">
        <f t="shared" ca="1" si="3"/>
        <v>-0.18770700622016731</v>
      </c>
      <c r="P39">
        <f t="shared" ca="1" si="4"/>
        <v>-0.14190454911224304</v>
      </c>
      <c r="Q39" s="2">
        <f t="shared" si="5"/>
        <v>38375.179100000001</v>
      </c>
      <c r="R39">
        <f>G39</f>
        <v>-0.1942780000026687</v>
      </c>
    </row>
    <row r="40" spans="1:21">
      <c r="A40" s="51" t="s">
        <v>122</v>
      </c>
      <c r="B40" s="49" t="s">
        <v>54</v>
      </c>
      <c r="C40" s="50">
        <v>54079.931400000001</v>
      </c>
      <c r="D40" s="50" t="s">
        <v>65</v>
      </c>
      <c r="E40">
        <f t="shared" si="0"/>
        <v>7051.4604770419883</v>
      </c>
      <c r="F40">
        <f t="shared" si="1"/>
        <v>7051.5</v>
      </c>
      <c r="G40">
        <f t="shared" si="2"/>
        <v>-0.1510920000000624</v>
      </c>
      <c r="I40">
        <f>+G40</f>
        <v>-0.1510920000000624</v>
      </c>
      <c r="O40">
        <f t="shared" ca="1" si="3"/>
        <v>-0.19255472356066297</v>
      </c>
      <c r="P40">
        <f t="shared" ca="1" si="4"/>
        <v>-0.14661583703012343</v>
      </c>
      <c r="Q40" s="2">
        <f t="shared" si="5"/>
        <v>39061.431400000001</v>
      </c>
      <c r="S40">
        <f>G40</f>
        <v>-0.1510920000000624</v>
      </c>
    </row>
    <row r="41" spans="1:21">
      <c r="A41" s="51" t="s">
        <v>122</v>
      </c>
      <c r="B41" s="49" t="s">
        <v>47</v>
      </c>
      <c r="C41" s="50">
        <v>54081.795899999997</v>
      </c>
      <c r="D41" s="50" t="s">
        <v>65</v>
      </c>
      <c r="E41">
        <f t="shared" si="0"/>
        <v>7051.9481968101627</v>
      </c>
      <c r="F41">
        <f t="shared" si="1"/>
        <v>7052</v>
      </c>
      <c r="G41">
        <f t="shared" si="2"/>
        <v>-0.19803800000227056</v>
      </c>
      <c r="I41">
        <f>+G41</f>
        <v>-0.19803800000227056</v>
      </c>
      <c r="O41">
        <f t="shared" ca="1" si="3"/>
        <v>-0.1925682269515836</v>
      </c>
      <c r="P41">
        <f t="shared" ca="1" si="4"/>
        <v>-0.14662896039479723</v>
      </c>
      <c r="Q41" s="2">
        <f t="shared" si="5"/>
        <v>39063.295899999997</v>
      </c>
      <c r="R41">
        <f>G41</f>
        <v>-0.19803800000227056</v>
      </c>
    </row>
    <row r="42" spans="1:21">
      <c r="A42" s="51" t="s">
        <v>122</v>
      </c>
      <c r="B42" s="49" t="s">
        <v>54</v>
      </c>
      <c r="C42" s="50">
        <v>54102.872499999998</v>
      </c>
      <c r="D42" s="50" t="s">
        <v>65</v>
      </c>
      <c r="E42">
        <f t="shared" si="0"/>
        <v>7057.4614574515826</v>
      </c>
      <c r="F42">
        <f t="shared" si="1"/>
        <v>7057.5</v>
      </c>
      <c r="G42">
        <f t="shared" si="2"/>
        <v>-0.14734400000452297</v>
      </c>
      <c r="I42">
        <f>+G42</f>
        <v>-0.14734400000452297</v>
      </c>
      <c r="O42">
        <f t="shared" ca="1" si="3"/>
        <v>-0.19271676425171019</v>
      </c>
      <c r="P42">
        <f t="shared" ca="1" si="4"/>
        <v>-0.14677331740620858</v>
      </c>
      <c r="Q42" s="2">
        <f t="shared" si="5"/>
        <v>39084.372499999998</v>
      </c>
      <c r="S42">
        <f>G42</f>
        <v>-0.14734400000452297</v>
      </c>
    </row>
    <row r="43" spans="1:21">
      <c r="A43" s="33" t="s">
        <v>48</v>
      </c>
      <c r="B43" s="34" t="s">
        <v>47</v>
      </c>
      <c r="C43" s="30">
        <v>54494.665300000001</v>
      </c>
      <c r="D43" s="30">
        <v>2.9999999999999997E-4</v>
      </c>
      <c r="E43">
        <f t="shared" si="0"/>
        <v>7159.9474288052079</v>
      </c>
      <c r="F43">
        <f t="shared" si="1"/>
        <v>7160</v>
      </c>
      <c r="G43">
        <f t="shared" si="2"/>
        <v>-0.20097399999940535</v>
      </c>
      <c r="K43">
        <f>+G43</f>
        <v>-0.20097399999940535</v>
      </c>
      <c r="O43">
        <f t="shared" ca="1" si="3"/>
        <v>-0.19548495939043337</v>
      </c>
      <c r="P43">
        <f t="shared" ca="1" si="4"/>
        <v>-0.14946360716432971</v>
      </c>
      <c r="Q43" s="2">
        <f t="shared" si="5"/>
        <v>39476.165300000001</v>
      </c>
      <c r="R43">
        <f>G43</f>
        <v>-0.20097399999940535</v>
      </c>
    </row>
    <row r="44" spans="1:21">
      <c r="A44" s="33" t="s">
        <v>48</v>
      </c>
      <c r="B44" s="34" t="s">
        <v>47</v>
      </c>
      <c r="C44" s="30">
        <v>54517.602299999999</v>
      </c>
      <c r="D44" s="30">
        <v>2.0000000000000001E-4</v>
      </c>
      <c r="E44">
        <f t="shared" si="0"/>
        <v>7165.947336728319</v>
      </c>
      <c r="F44">
        <f t="shared" si="1"/>
        <v>7166</v>
      </c>
      <c r="G44">
        <f t="shared" si="2"/>
        <v>-0.20132600000215461</v>
      </c>
      <c r="K44">
        <f>+G44</f>
        <v>-0.20132600000215461</v>
      </c>
      <c r="O44">
        <f t="shared" ca="1" si="3"/>
        <v>-0.19564700008148056</v>
      </c>
      <c r="P44">
        <f t="shared" ca="1" si="4"/>
        <v>-0.14962108754041481</v>
      </c>
      <c r="Q44" s="2">
        <f t="shared" si="5"/>
        <v>39499.102299999999</v>
      </c>
      <c r="R44">
        <f>G44</f>
        <v>-0.20132600000215461</v>
      </c>
    </row>
    <row r="45" spans="1:21">
      <c r="A45" s="33" t="s">
        <v>49</v>
      </c>
      <c r="B45" s="34" t="s">
        <v>47</v>
      </c>
      <c r="C45" s="30">
        <v>54538.676500000001</v>
      </c>
      <c r="D45" s="30">
        <v>4.0000000000000002E-4</v>
      </c>
      <c r="E45">
        <f t="shared" si="0"/>
        <v>7171.4599695727738</v>
      </c>
      <c r="F45">
        <f t="shared" si="1"/>
        <v>7171.5</v>
      </c>
      <c r="G45">
        <f t="shared" si="2"/>
        <v>-0.15303200000198558</v>
      </c>
      <c r="K45">
        <f>+G45</f>
        <v>-0.15303200000198558</v>
      </c>
      <c r="O45">
        <f t="shared" ca="1" si="3"/>
        <v>-0.19579553738160718</v>
      </c>
      <c r="P45">
        <f t="shared" ca="1" si="4"/>
        <v>-0.14976544455182622</v>
      </c>
      <c r="Q45" s="2">
        <f t="shared" si="5"/>
        <v>39520.176500000001</v>
      </c>
      <c r="S45">
        <f>G45</f>
        <v>-0.15303200000198558</v>
      </c>
    </row>
    <row r="46" spans="1:21">
      <c r="A46" s="33" t="s">
        <v>50</v>
      </c>
      <c r="B46" s="34" t="s">
        <v>47</v>
      </c>
      <c r="C46" s="30">
        <v>54792.848700000002</v>
      </c>
      <c r="D46" s="30">
        <v>5.0000000000000001E-4</v>
      </c>
      <c r="E46">
        <f t="shared" si="0"/>
        <v>7237.9468596026263</v>
      </c>
      <c r="F46">
        <f t="shared" si="1"/>
        <v>7238</v>
      </c>
      <c r="G46">
        <f t="shared" si="2"/>
        <v>-0.20315000000118744</v>
      </c>
      <c r="K46">
        <f>+G46</f>
        <v>-0.20315000000118744</v>
      </c>
      <c r="O46">
        <f t="shared" ca="1" si="3"/>
        <v>-0.19759148837404708</v>
      </c>
      <c r="P46">
        <f t="shared" ca="1" si="4"/>
        <v>-0.15151085205343651</v>
      </c>
      <c r="Q46" s="2">
        <f t="shared" si="5"/>
        <v>39774.348700000002</v>
      </c>
      <c r="R46">
        <f>G46</f>
        <v>-0.20315000000118744</v>
      </c>
    </row>
    <row r="47" spans="1:21">
      <c r="A47" s="33" t="s">
        <v>50</v>
      </c>
      <c r="B47" s="34" t="s">
        <v>47</v>
      </c>
      <c r="C47" s="30">
        <v>54863.621500000001</v>
      </c>
      <c r="D47" s="30">
        <v>2.9999999999999997E-4</v>
      </c>
      <c r="E47">
        <f t="shared" si="0"/>
        <v>7256.459755075477</v>
      </c>
      <c r="F47">
        <f t="shared" si="1"/>
        <v>7256.5</v>
      </c>
      <c r="G47">
        <f t="shared" si="2"/>
        <v>-0.15385199999582255</v>
      </c>
      <c r="K47">
        <f>+G47</f>
        <v>-0.15385199999582255</v>
      </c>
      <c r="O47">
        <f t="shared" ca="1" si="3"/>
        <v>-0.19809111383810932</v>
      </c>
      <c r="P47">
        <f t="shared" ca="1" si="4"/>
        <v>-0.1519964165463657</v>
      </c>
      <c r="Q47" s="2">
        <f t="shared" si="5"/>
        <v>39845.121500000001</v>
      </c>
      <c r="S47">
        <f>G47</f>
        <v>-0.15385199999582255</v>
      </c>
    </row>
    <row r="48" spans="1:21">
      <c r="A48" s="51" t="s">
        <v>168</v>
      </c>
      <c r="B48" s="49" t="s">
        <v>47</v>
      </c>
      <c r="C48" s="50">
        <v>54876.952700000002</v>
      </c>
      <c r="D48" s="50" t="s">
        <v>65</v>
      </c>
      <c r="E48">
        <f t="shared" si="0"/>
        <v>7259.9469579574834</v>
      </c>
      <c r="F48">
        <f t="shared" si="1"/>
        <v>7260</v>
      </c>
      <c r="G48">
        <f t="shared" si="2"/>
        <v>-0.20277399999758927</v>
      </c>
      <c r="I48">
        <f>+G48</f>
        <v>-0.20277399999758927</v>
      </c>
      <c r="O48">
        <f t="shared" ca="1" si="3"/>
        <v>-0.19818563757455351</v>
      </c>
      <c r="P48">
        <f t="shared" ca="1" si="4"/>
        <v>-0.15208828009908198</v>
      </c>
      <c r="Q48" s="2">
        <f t="shared" si="5"/>
        <v>39858.452700000002</v>
      </c>
      <c r="R48">
        <f>G48</f>
        <v>-0.20277399999758927</v>
      </c>
    </row>
    <row r="49" spans="1:19">
      <c r="A49" s="33" t="s">
        <v>51</v>
      </c>
      <c r="B49" s="34" t="s">
        <v>47</v>
      </c>
      <c r="C49" s="30">
        <v>55138.867400000003</v>
      </c>
      <c r="D49" s="30">
        <v>2.9999999999999997E-4</v>
      </c>
      <c r="E49">
        <f t="shared" si="0"/>
        <v>7328.4591471587482</v>
      </c>
      <c r="F49">
        <f t="shared" si="1"/>
        <v>7328.5</v>
      </c>
      <c r="G49">
        <f t="shared" si="2"/>
        <v>-0.15617599999677623</v>
      </c>
      <c r="K49">
        <f>+G49</f>
        <v>-0.15617599999677623</v>
      </c>
      <c r="O49">
        <f t="shared" ca="1" si="3"/>
        <v>-0.20003560213067581</v>
      </c>
      <c r="P49">
        <f t="shared" ca="1" si="4"/>
        <v>-0.15388618105938734</v>
      </c>
      <c r="Q49" s="2">
        <f t="shared" si="5"/>
        <v>40120.367400000003</v>
      </c>
      <c r="S49">
        <f>G49</f>
        <v>-0.15617599999677623</v>
      </c>
    </row>
    <row r="50" spans="1:19">
      <c r="A50" s="33" t="s">
        <v>51</v>
      </c>
      <c r="B50" s="34" t="s">
        <v>47</v>
      </c>
      <c r="C50" s="30">
        <v>55182.781600000002</v>
      </c>
      <c r="D50" s="30">
        <v>4.0000000000000002E-4</v>
      </c>
      <c r="E50">
        <f t="shared" si="0"/>
        <v>7339.9463144655938</v>
      </c>
      <c r="F50">
        <f t="shared" si="1"/>
        <v>7340</v>
      </c>
      <c r="G50">
        <f t="shared" si="2"/>
        <v>-0.20523399999365211</v>
      </c>
      <c r="K50">
        <f>+G50</f>
        <v>-0.20523399999365211</v>
      </c>
      <c r="O50">
        <f t="shared" ca="1" si="3"/>
        <v>-0.20034618012184963</v>
      </c>
      <c r="P50">
        <f t="shared" ca="1" si="4"/>
        <v>-0.15418801844688385</v>
      </c>
      <c r="Q50" s="2">
        <f t="shared" si="5"/>
        <v>40164.281600000002</v>
      </c>
      <c r="R50">
        <f>G50</f>
        <v>-0.20523399999365211</v>
      </c>
    </row>
    <row r="51" spans="1:19">
      <c r="A51" s="51" t="s">
        <v>179</v>
      </c>
      <c r="B51" s="49" t="s">
        <v>47</v>
      </c>
      <c r="C51" s="50">
        <v>55618.612000000001</v>
      </c>
      <c r="D51" s="50" t="s">
        <v>65</v>
      </c>
      <c r="E51">
        <f t="shared" si="0"/>
        <v>7453.9517323534119</v>
      </c>
      <c r="F51">
        <f t="shared" si="1"/>
        <v>7454</v>
      </c>
      <c r="G51">
        <f t="shared" si="2"/>
        <v>-0.18452200000319863</v>
      </c>
      <c r="I51">
        <f>+G51</f>
        <v>-0.18452200000319863</v>
      </c>
      <c r="O51">
        <f t="shared" ca="1" si="3"/>
        <v>-0.20342495325174662</v>
      </c>
      <c r="P51">
        <f t="shared" ca="1" si="4"/>
        <v>-0.15718014559250149</v>
      </c>
      <c r="Q51" s="2">
        <f t="shared" si="5"/>
        <v>40600.112000000001</v>
      </c>
      <c r="R51">
        <f>G51</f>
        <v>-0.18452200000319863</v>
      </c>
    </row>
    <row r="52" spans="1:19">
      <c r="A52" s="33" t="s">
        <v>52</v>
      </c>
      <c r="B52" s="34" t="s">
        <v>47</v>
      </c>
      <c r="C52" s="30">
        <v>55962.646399999998</v>
      </c>
      <c r="D52" s="30">
        <v>2.0000000000000001E-4</v>
      </c>
      <c r="E52">
        <f t="shared" si="0"/>
        <v>7543.9449626094583</v>
      </c>
      <c r="F52">
        <f t="shared" si="1"/>
        <v>7544</v>
      </c>
      <c r="G52">
        <f t="shared" si="2"/>
        <v>-0.21040200000425102</v>
      </c>
      <c r="K52">
        <f t="shared" ref="K52:K65" si="7">+G52</f>
        <v>-0.21040200000425102</v>
      </c>
      <c r="O52">
        <f t="shared" ca="1" si="3"/>
        <v>-0.20585556361745475</v>
      </c>
      <c r="P52">
        <f t="shared" ca="1" si="4"/>
        <v>-0.15954235123377858</v>
      </c>
      <c r="Q52" s="2">
        <f t="shared" si="5"/>
        <v>40944.146399999998</v>
      </c>
      <c r="R52">
        <f>G52</f>
        <v>-0.21040200000425102</v>
      </c>
    </row>
    <row r="53" spans="1:19">
      <c r="A53" s="53" t="s">
        <v>53</v>
      </c>
      <c r="B53" s="54" t="s">
        <v>54</v>
      </c>
      <c r="C53" s="55">
        <v>56255.145510000002</v>
      </c>
      <c r="D53" s="55">
        <v>1.49E-3</v>
      </c>
      <c r="E53">
        <f t="shared" si="0"/>
        <v>7620.4574850662802</v>
      </c>
      <c r="F53">
        <f t="shared" si="1"/>
        <v>7620.5</v>
      </c>
      <c r="G53">
        <f t="shared" si="2"/>
        <v>-0.16253000000142492</v>
      </c>
      <c r="K53">
        <f t="shared" si="7"/>
        <v>-0.16253000000142492</v>
      </c>
      <c r="O53">
        <f t="shared" ca="1" si="3"/>
        <v>-0.20792158242830669</v>
      </c>
      <c r="P53">
        <f t="shared" ca="1" si="4"/>
        <v>-0.1615502260288641</v>
      </c>
      <c r="Q53" s="2">
        <f t="shared" si="5"/>
        <v>41236.645510000002</v>
      </c>
      <c r="S53">
        <f>G53</f>
        <v>-0.16253000000142492</v>
      </c>
    </row>
    <row r="54" spans="1:19">
      <c r="A54" s="53" t="s">
        <v>53</v>
      </c>
      <c r="B54" s="54" t="s">
        <v>47</v>
      </c>
      <c r="C54" s="55">
        <v>56257.007030000001</v>
      </c>
      <c r="D54" s="55">
        <v>2.7799999999999999E-3</v>
      </c>
      <c r="E54">
        <f t="shared" si="0"/>
        <v>7620.944425319889</v>
      </c>
      <c r="F54">
        <f t="shared" si="1"/>
        <v>7621</v>
      </c>
      <c r="G54">
        <f t="shared" si="2"/>
        <v>-0.21245600000111153</v>
      </c>
      <c r="K54">
        <f t="shared" si="7"/>
        <v>-0.21245600000111153</v>
      </c>
      <c r="O54">
        <f t="shared" ca="1" si="3"/>
        <v>-0.20793508581922729</v>
      </c>
      <c r="P54">
        <f t="shared" ca="1" si="4"/>
        <v>-0.16156334939353784</v>
      </c>
      <c r="Q54" s="2">
        <f t="shared" si="5"/>
        <v>41238.507030000001</v>
      </c>
      <c r="R54">
        <f>G54</f>
        <v>-0.21245600000111153</v>
      </c>
    </row>
    <row r="55" spans="1:19">
      <c r="A55" s="53" t="s">
        <v>53</v>
      </c>
      <c r="B55" s="54" t="s">
        <v>47</v>
      </c>
      <c r="C55" s="55">
        <v>56299.058488000002</v>
      </c>
      <c r="D55" s="55">
        <v>1.2700000000000001E-3</v>
      </c>
      <c r="E55">
        <f t="shared" si="0"/>
        <v>7631.9443327198369</v>
      </c>
      <c r="F55">
        <f t="shared" si="1"/>
        <v>7632</v>
      </c>
      <c r="G55">
        <f t="shared" si="2"/>
        <v>-0.21280999999726191</v>
      </c>
      <c r="K55">
        <f t="shared" si="7"/>
        <v>-0.21280999999726191</v>
      </c>
      <c r="O55">
        <f t="shared" ca="1" si="3"/>
        <v>-0.20823216041948051</v>
      </c>
      <c r="P55">
        <f t="shared" ca="1" si="4"/>
        <v>-0.1618520634163606</v>
      </c>
      <c r="Q55" s="2">
        <f t="shared" si="5"/>
        <v>41280.558488000002</v>
      </c>
      <c r="R55">
        <f>G55</f>
        <v>-0.21280999999726191</v>
      </c>
    </row>
    <row r="56" spans="1:19">
      <c r="A56" s="58" t="s">
        <v>185</v>
      </c>
      <c r="B56" s="59" t="s">
        <v>47</v>
      </c>
      <c r="C56" s="60">
        <v>57430.626700000001</v>
      </c>
      <c r="D56" s="60">
        <v>1E-4</v>
      </c>
      <c r="E56">
        <f t="shared" si="0"/>
        <v>7927.9422871480547</v>
      </c>
      <c r="F56">
        <f t="shared" si="1"/>
        <v>7928</v>
      </c>
      <c r="G56">
        <f t="shared" si="2"/>
        <v>-0.22063000000343891</v>
      </c>
      <c r="K56">
        <f t="shared" si="7"/>
        <v>-0.22063000000343891</v>
      </c>
      <c r="O56">
        <f t="shared" ca="1" si="3"/>
        <v>-0.21622616784447615</v>
      </c>
      <c r="P56">
        <f t="shared" ca="1" si="4"/>
        <v>-0.16962109530322744</v>
      </c>
      <c r="Q56" s="2">
        <f t="shared" si="5"/>
        <v>42412.126700000001</v>
      </c>
      <c r="R56">
        <f>G56</f>
        <v>-0.22063000000343891</v>
      </c>
    </row>
    <row r="57" spans="1:19">
      <c r="A57" s="56" t="s">
        <v>2</v>
      </c>
      <c r="B57" s="57" t="s">
        <v>47</v>
      </c>
      <c r="C57" s="56">
        <v>57746.065600000002</v>
      </c>
      <c r="D57" s="56" t="s">
        <v>187</v>
      </c>
      <c r="E57">
        <f t="shared" si="0"/>
        <v>8010.4554473419603</v>
      </c>
      <c r="F57">
        <f t="shared" si="1"/>
        <v>8010.5</v>
      </c>
      <c r="G57">
        <f t="shared" si="2"/>
        <v>-0.17031999999744585</v>
      </c>
      <c r="K57">
        <f t="shared" si="7"/>
        <v>-0.17031999999744585</v>
      </c>
      <c r="O57">
        <f t="shared" ca="1" si="3"/>
        <v>-0.21845422734637529</v>
      </c>
      <c r="P57">
        <f t="shared" ca="1" si="4"/>
        <v>-0.17178645047439811</v>
      </c>
      <c r="Q57" s="2">
        <f t="shared" si="5"/>
        <v>42727.565600000002</v>
      </c>
      <c r="S57">
        <f>G57</f>
        <v>-0.17031999999744585</v>
      </c>
    </row>
    <row r="58" spans="1:19">
      <c r="A58" s="61" t="s">
        <v>186</v>
      </c>
      <c r="B58" s="62" t="s">
        <v>47</v>
      </c>
      <c r="C58" s="56">
        <v>57797.622000000003</v>
      </c>
      <c r="D58" s="56">
        <v>1E-4</v>
      </c>
      <c r="E58">
        <f t="shared" si="0"/>
        <v>8023.9416771386695</v>
      </c>
      <c r="F58">
        <f t="shared" si="1"/>
        <v>8024</v>
      </c>
      <c r="G58">
        <f t="shared" si="2"/>
        <v>-0.22296199999982491</v>
      </c>
      <c r="K58">
        <f t="shared" si="7"/>
        <v>-0.22296199999982491</v>
      </c>
      <c r="O58">
        <f t="shared" ca="1" si="3"/>
        <v>-0.2188188189012315</v>
      </c>
      <c r="P58">
        <f t="shared" ca="1" si="4"/>
        <v>-0.17214078132058969</v>
      </c>
      <c r="Q58" s="2">
        <f t="shared" si="5"/>
        <v>42779.122000000003</v>
      </c>
      <c r="R58">
        <f t="shared" ref="R58:R65" si="8">G58</f>
        <v>-0.22296199999982491</v>
      </c>
    </row>
    <row r="59" spans="1:19">
      <c r="A59" s="56" t="s">
        <v>1</v>
      </c>
      <c r="B59" s="57" t="s">
        <v>47</v>
      </c>
      <c r="C59" s="56">
        <v>58134.033799999859</v>
      </c>
      <c r="D59" s="56" t="s">
        <v>30</v>
      </c>
      <c r="E59">
        <f t="shared" si="0"/>
        <v>8111.9409719133728</v>
      </c>
      <c r="F59">
        <f t="shared" si="1"/>
        <v>8112</v>
      </c>
      <c r="G59">
        <f t="shared" si="2"/>
        <v>-0.2256580001412658</v>
      </c>
      <c r="K59">
        <f t="shared" si="7"/>
        <v>-0.2256580001412658</v>
      </c>
      <c r="O59">
        <f t="shared" ca="1" si="3"/>
        <v>-0.22119541570325726</v>
      </c>
      <c r="P59">
        <f t="shared" ca="1" si="4"/>
        <v>-0.17445049350317171</v>
      </c>
      <c r="Q59" s="2">
        <f t="shared" si="5"/>
        <v>43115.533799999859</v>
      </c>
      <c r="R59">
        <f t="shared" si="8"/>
        <v>-0.2256580001412658</v>
      </c>
    </row>
    <row r="60" spans="1:19">
      <c r="A60" s="56" t="s">
        <v>1</v>
      </c>
      <c r="B60" s="57" t="s">
        <v>47</v>
      </c>
      <c r="C60" s="56">
        <v>58134.034200000111</v>
      </c>
      <c r="D60" s="56" t="s">
        <v>30</v>
      </c>
      <c r="E60">
        <f t="shared" si="0"/>
        <v>8111.9410765462662</v>
      </c>
      <c r="F60">
        <f t="shared" si="1"/>
        <v>8112</v>
      </c>
      <c r="G60">
        <f t="shared" si="2"/>
        <v>-0.22525799988943618</v>
      </c>
      <c r="K60">
        <f t="shared" si="7"/>
        <v>-0.22525799988943618</v>
      </c>
      <c r="O60">
        <f t="shared" ca="1" si="3"/>
        <v>-0.22119541570325726</v>
      </c>
      <c r="P60">
        <f t="shared" ca="1" si="4"/>
        <v>-0.17445049350317171</v>
      </c>
      <c r="Q60" s="2">
        <f t="shared" si="5"/>
        <v>43115.534200000111</v>
      </c>
      <c r="R60">
        <f t="shared" si="8"/>
        <v>-0.22525799988943618</v>
      </c>
    </row>
    <row r="61" spans="1:19">
      <c r="A61" s="56" t="s">
        <v>1</v>
      </c>
      <c r="B61" s="57" t="s">
        <v>47</v>
      </c>
      <c r="C61" s="56">
        <v>58134.034500000067</v>
      </c>
      <c r="D61" s="56" t="s">
        <v>30</v>
      </c>
      <c r="E61">
        <f t="shared" si="0"/>
        <v>8111.9411550208761</v>
      </c>
      <c r="F61">
        <f t="shared" si="1"/>
        <v>8112</v>
      </c>
      <c r="G61">
        <f t="shared" si="2"/>
        <v>-0.2249579999333946</v>
      </c>
      <c r="K61">
        <f t="shared" si="7"/>
        <v>-0.2249579999333946</v>
      </c>
      <c r="O61">
        <f t="shared" ca="1" si="3"/>
        <v>-0.22119541570325726</v>
      </c>
      <c r="P61">
        <f t="shared" ca="1" si="4"/>
        <v>-0.17445049350317171</v>
      </c>
      <c r="Q61" s="2">
        <f t="shared" si="5"/>
        <v>43115.534500000067</v>
      </c>
      <c r="R61">
        <f t="shared" si="8"/>
        <v>-0.2249579999333946</v>
      </c>
    </row>
    <row r="62" spans="1:19">
      <c r="A62" s="56" t="s">
        <v>1</v>
      </c>
      <c r="B62" s="57" t="s">
        <v>47</v>
      </c>
      <c r="C62" s="56">
        <v>58156.967900000047</v>
      </c>
      <c r="D62" s="56" t="s">
        <v>30</v>
      </c>
      <c r="E62">
        <f t="shared" si="0"/>
        <v>8117.9401212485327</v>
      </c>
      <c r="F62">
        <f t="shared" si="1"/>
        <v>8118</v>
      </c>
      <c r="G62">
        <f t="shared" si="2"/>
        <v>-0.22890999995433958</v>
      </c>
      <c r="K62">
        <f t="shared" si="7"/>
        <v>-0.22890999995433958</v>
      </c>
      <c r="O62">
        <f t="shared" ca="1" si="3"/>
        <v>-0.22135745639430446</v>
      </c>
      <c r="P62">
        <f t="shared" ca="1" si="4"/>
        <v>-0.17460797387925686</v>
      </c>
      <c r="Q62" s="2">
        <f t="shared" si="5"/>
        <v>43138.467900000047</v>
      </c>
      <c r="R62">
        <f t="shared" si="8"/>
        <v>-0.22890999995433958</v>
      </c>
    </row>
    <row r="63" spans="1:19">
      <c r="A63" s="56" t="s">
        <v>1</v>
      </c>
      <c r="B63" s="57" t="s">
        <v>47</v>
      </c>
      <c r="C63" s="56">
        <v>58156.968400000129</v>
      </c>
      <c r="D63" s="56" t="s">
        <v>30</v>
      </c>
      <c r="E63">
        <f t="shared" si="0"/>
        <v>8117.9402520395888</v>
      </c>
      <c r="F63">
        <f t="shared" si="1"/>
        <v>8118</v>
      </c>
      <c r="G63">
        <f t="shared" si="2"/>
        <v>-0.2284099998723832</v>
      </c>
      <c r="K63">
        <f t="shared" si="7"/>
        <v>-0.2284099998723832</v>
      </c>
      <c r="O63">
        <f t="shared" ca="1" si="3"/>
        <v>-0.22135745639430446</v>
      </c>
      <c r="P63">
        <f t="shared" ca="1" si="4"/>
        <v>-0.17460797387925686</v>
      </c>
      <c r="Q63" s="2">
        <f t="shared" si="5"/>
        <v>43138.468400000129</v>
      </c>
      <c r="R63">
        <f t="shared" si="8"/>
        <v>-0.2284099998723832</v>
      </c>
    </row>
    <row r="64" spans="1:19">
      <c r="A64" s="56" t="s">
        <v>1</v>
      </c>
      <c r="B64" s="57" t="s">
        <v>47</v>
      </c>
      <c r="C64" s="56">
        <v>58156.970100000035</v>
      </c>
      <c r="D64" s="56" t="s">
        <v>30</v>
      </c>
      <c r="E64">
        <f t="shared" si="0"/>
        <v>8117.9406967290824</v>
      </c>
      <c r="F64">
        <f t="shared" si="1"/>
        <v>8118</v>
      </c>
      <c r="G64">
        <f t="shared" si="2"/>
        <v>-0.22670999996626051</v>
      </c>
      <c r="K64">
        <f t="shared" si="7"/>
        <v>-0.22670999996626051</v>
      </c>
      <c r="O64">
        <f t="shared" ca="1" si="3"/>
        <v>-0.22135745639430446</v>
      </c>
      <c r="P64">
        <f t="shared" ca="1" si="4"/>
        <v>-0.17460797387925686</v>
      </c>
      <c r="Q64" s="2">
        <f t="shared" si="5"/>
        <v>43138.470100000035</v>
      </c>
      <c r="R64">
        <f t="shared" si="8"/>
        <v>-0.22670999996626051</v>
      </c>
    </row>
    <row r="65" spans="1:19" s="75" customFormat="1" ht="12" customHeight="1">
      <c r="A65" s="56" t="s">
        <v>0</v>
      </c>
      <c r="B65" s="57" t="s">
        <v>47</v>
      </c>
      <c r="C65" s="56">
        <v>58462.8004</v>
      </c>
      <c r="D65" s="56">
        <v>2.0000000000000001E-4</v>
      </c>
      <c r="E65" s="75">
        <f t="shared" si="0"/>
        <v>8197.9404194520794</v>
      </c>
      <c r="F65" s="75">
        <f t="shared" si="1"/>
        <v>8198</v>
      </c>
      <c r="G65" s="75">
        <f t="shared" si="2"/>
        <v>-0.22777000000496628</v>
      </c>
      <c r="K65" s="75">
        <f t="shared" si="7"/>
        <v>-0.22777000000496628</v>
      </c>
      <c r="O65" s="75">
        <f t="shared" ca="1" si="3"/>
        <v>-0.2235179989416006</v>
      </c>
      <c r="P65" s="75">
        <f t="shared" ca="1" si="4"/>
        <v>-0.17670771222705872</v>
      </c>
      <c r="Q65" s="76">
        <f t="shared" si="5"/>
        <v>43444.3004</v>
      </c>
      <c r="R65" s="75">
        <f t="shared" si="8"/>
        <v>-0.22777000000496628</v>
      </c>
    </row>
    <row r="66" spans="1:19" s="75" customFormat="1" ht="12" customHeight="1">
      <c r="A66" s="63" t="s">
        <v>188</v>
      </c>
      <c r="B66" s="64" t="s">
        <v>47</v>
      </c>
      <c r="C66" s="65">
        <v>58162.757299999997</v>
      </c>
      <c r="D66" s="65">
        <v>1E-4</v>
      </c>
      <c r="E66" s="75">
        <f t="shared" ref="E66:E72" si="9">+(C66-C$7)/C$8</f>
        <v>8119.4545244804185</v>
      </c>
      <c r="F66" s="75">
        <f t="shared" si="1"/>
        <v>8119.5</v>
      </c>
      <c r="G66" s="75">
        <f t="shared" ref="G66:G72" si="10">+C66-(C$7+F66*C$8)</f>
        <v>-0.1738480000058189</v>
      </c>
      <c r="K66" s="75">
        <f t="shared" ref="K66:K72" si="11">+G66</f>
        <v>-0.1738480000058189</v>
      </c>
      <c r="O66" s="75">
        <f t="shared" ref="O66:P70" ca="1" si="12">+C$11+C$12*$F66</f>
        <v>-0.22139796656706626</v>
      </c>
      <c r="P66" s="75">
        <f t="shared" ca="1" si="12"/>
        <v>-0.17464734397327814</v>
      </c>
      <c r="Q66" s="76">
        <f t="shared" ref="Q66:Q72" si="13">+C66-15018.5</f>
        <v>43144.257299999997</v>
      </c>
      <c r="S66" s="75">
        <f>G66</f>
        <v>-0.1738480000058189</v>
      </c>
    </row>
    <row r="67" spans="1:19" s="75" customFormat="1" ht="12" customHeight="1">
      <c r="A67" s="63" t="s">
        <v>188</v>
      </c>
      <c r="B67" s="64" t="s">
        <v>47</v>
      </c>
      <c r="C67" s="65">
        <v>58164.616499999996</v>
      </c>
      <c r="D67" s="65">
        <v>1E-4</v>
      </c>
      <c r="E67" s="75">
        <f t="shared" si="9"/>
        <v>8119.9408578636267</v>
      </c>
      <c r="F67" s="75">
        <f t="shared" si="1"/>
        <v>8120</v>
      </c>
      <c r="G67" s="75">
        <f t="shared" si="10"/>
        <v>-0.22609400000510504</v>
      </c>
      <c r="K67" s="75">
        <f t="shared" si="11"/>
        <v>-0.22609400000510504</v>
      </c>
      <c r="O67" s="75">
        <f t="shared" ca="1" si="12"/>
        <v>-0.22141146995798686</v>
      </c>
      <c r="P67" s="75">
        <f t="shared" ca="1" si="12"/>
        <v>-0.17466046733795187</v>
      </c>
      <c r="Q67" s="76">
        <f t="shared" si="13"/>
        <v>43146.116499999996</v>
      </c>
      <c r="R67" s="75">
        <f t="shared" ref="R67:R77" si="14">G67</f>
        <v>-0.22609400000510504</v>
      </c>
    </row>
    <row r="68" spans="1:19" s="75" customFormat="1" ht="12" customHeight="1">
      <c r="A68" s="63" t="s">
        <v>189</v>
      </c>
      <c r="B68" s="64" t="s">
        <v>47</v>
      </c>
      <c r="C68" s="65">
        <v>58535.4352</v>
      </c>
      <c r="D68" s="65">
        <v>2.0000000000000001E-4</v>
      </c>
      <c r="E68" s="75">
        <f t="shared" si="9"/>
        <v>8216.9403807379331</v>
      </c>
      <c r="F68" s="75">
        <f t="shared" si="1"/>
        <v>8217</v>
      </c>
      <c r="G68" s="75">
        <f t="shared" si="10"/>
        <v>-0.22791799999686191</v>
      </c>
      <c r="K68" s="75">
        <f t="shared" si="11"/>
        <v>-0.22791799999686191</v>
      </c>
      <c r="O68" s="75">
        <f t="shared" ca="1" si="12"/>
        <v>-0.22403112779658341</v>
      </c>
      <c r="P68" s="75">
        <f t="shared" ca="1" si="12"/>
        <v>-0.17720640008466165</v>
      </c>
      <c r="Q68" s="76">
        <f t="shared" si="13"/>
        <v>43516.9352</v>
      </c>
      <c r="R68" s="75">
        <f t="shared" si="14"/>
        <v>-0.22791799999686191</v>
      </c>
    </row>
    <row r="69" spans="1:19" s="75" customFormat="1" ht="12" customHeight="1">
      <c r="A69" s="66" t="s">
        <v>190</v>
      </c>
      <c r="B69" s="67" t="s">
        <v>47</v>
      </c>
      <c r="C69" s="68">
        <v>58898.607400000001</v>
      </c>
      <c r="D69" s="68">
        <v>2.0000000000000001E-4</v>
      </c>
      <c r="E69" s="75">
        <f t="shared" si="9"/>
        <v>8311.9397163194772</v>
      </c>
      <c r="F69" s="75">
        <f t="shared" si="1"/>
        <v>8312</v>
      </c>
      <c r="G69" s="75">
        <f t="shared" si="10"/>
        <v>-0.23045799999817973</v>
      </c>
      <c r="K69" s="75">
        <f t="shared" si="11"/>
        <v>-0.23045799999817973</v>
      </c>
      <c r="O69" s="75">
        <f t="shared" ca="1" si="12"/>
        <v>-0.22659677207149756</v>
      </c>
      <c r="P69" s="75">
        <f t="shared" ca="1" si="12"/>
        <v>-0.17969983937267631</v>
      </c>
      <c r="Q69" s="76">
        <f t="shared" si="13"/>
        <v>43880.107400000001</v>
      </c>
      <c r="R69" s="75">
        <f t="shared" si="14"/>
        <v>-0.23045799999817973</v>
      </c>
    </row>
    <row r="70" spans="1:19" s="75" customFormat="1" ht="12" customHeight="1">
      <c r="A70" s="66" t="s">
        <v>190</v>
      </c>
      <c r="B70" s="67" t="s">
        <v>47</v>
      </c>
      <c r="C70" s="68">
        <v>58904.3943</v>
      </c>
      <c r="D70" s="68">
        <v>2.0000000000000001E-4</v>
      </c>
      <c r="E70" s="75">
        <f t="shared" si="9"/>
        <v>8313.4534655962034</v>
      </c>
      <c r="F70" s="75">
        <f t="shared" si="1"/>
        <v>8313.5</v>
      </c>
      <c r="G70" s="75">
        <f t="shared" si="10"/>
        <v>-0.17789600000105565</v>
      </c>
      <c r="K70" s="75">
        <f t="shared" si="11"/>
        <v>-0.17789600000105565</v>
      </c>
      <c r="O70" s="75">
        <f t="shared" ca="1" si="12"/>
        <v>-0.22663728224425936</v>
      </c>
      <c r="P70" s="75">
        <f t="shared" ca="1" si="12"/>
        <v>-0.17973920946669764</v>
      </c>
      <c r="Q70" s="76">
        <f t="shared" si="13"/>
        <v>43885.8943</v>
      </c>
      <c r="R70" s="75">
        <f t="shared" si="14"/>
        <v>-0.17789600000105565</v>
      </c>
    </row>
    <row r="71" spans="1:19" s="75" customFormat="1" ht="12" customHeight="1">
      <c r="A71" s="69" t="s">
        <v>191</v>
      </c>
      <c r="B71" s="64" t="s">
        <v>47</v>
      </c>
      <c r="C71" s="65">
        <v>59150.916299999997</v>
      </c>
      <c r="D71" s="65">
        <v>2.0000000000000001E-4</v>
      </c>
      <c r="E71" s="75">
        <f t="shared" si="9"/>
        <v>8377.9392004796355</v>
      </c>
      <c r="F71" s="75">
        <f>ROUND(2*E71,0)/2</f>
        <v>8378</v>
      </c>
      <c r="G71" s="75">
        <f t="shared" si="10"/>
        <v>-0.2324300000036601</v>
      </c>
      <c r="K71" s="75">
        <f t="shared" si="11"/>
        <v>-0.2324300000036601</v>
      </c>
      <c r="O71" s="75">
        <f ca="1">+C$11+C$12*$F71</f>
        <v>-0.22837921967301686</v>
      </c>
      <c r="P71" s="75">
        <f ca="1">+D$11+D$12*$F71</f>
        <v>-0.18143212350961285</v>
      </c>
      <c r="Q71" s="76">
        <f t="shared" si="13"/>
        <v>44132.416299999997</v>
      </c>
      <c r="R71" s="75">
        <f t="shared" si="14"/>
        <v>-0.2324300000036601</v>
      </c>
    </row>
    <row r="72" spans="1:19" s="75" customFormat="1" ht="12" customHeight="1">
      <c r="A72" s="69" t="s">
        <v>191</v>
      </c>
      <c r="B72" s="64" t="s">
        <v>47</v>
      </c>
      <c r="C72" s="65">
        <v>59242.665699999998</v>
      </c>
      <c r="D72" s="65">
        <v>2.0000000000000001E-4</v>
      </c>
      <c r="E72" s="75">
        <f t="shared" si="9"/>
        <v>8401.9391983869791</v>
      </c>
      <c r="F72" s="75">
        <f>ROUND(2*E72,0)/2</f>
        <v>8402</v>
      </c>
      <c r="G72" s="75">
        <f t="shared" si="10"/>
        <v>-0.23243800000636838</v>
      </c>
      <c r="K72" s="75">
        <f t="shared" si="11"/>
        <v>-0.23243800000636838</v>
      </c>
      <c r="O72" s="75">
        <f ca="1">+C$11+C$12*$F72</f>
        <v>-0.22902738243720572</v>
      </c>
      <c r="P72" s="75">
        <f ca="1">+D$11+D$12*$F72</f>
        <v>-0.1820620450139534</v>
      </c>
      <c r="Q72" s="76">
        <f t="shared" si="13"/>
        <v>44224.165699999998</v>
      </c>
      <c r="R72" s="75">
        <f t="shared" si="14"/>
        <v>-0.23243800000636838</v>
      </c>
    </row>
    <row r="73" spans="1:19" s="75" customFormat="1" ht="12" customHeight="1">
      <c r="A73" s="70" t="s">
        <v>192</v>
      </c>
      <c r="B73" s="71" t="s">
        <v>47</v>
      </c>
      <c r="C73" s="78">
        <v>58898.607400000001</v>
      </c>
      <c r="D73" s="72">
        <v>2.0000000000000001E-4</v>
      </c>
      <c r="E73" s="75">
        <f t="shared" ref="E73:E77" si="15">+(C73-C$7)/C$8</f>
        <v>8311.9397163194772</v>
      </c>
      <c r="F73" s="75">
        <f t="shared" ref="F73:F77" si="16">ROUND(2*E73,0)/2</f>
        <v>8312</v>
      </c>
      <c r="G73" s="75">
        <f t="shared" ref="G73:G77" si="17">+C73-(C$7+F73*C$8)</f>
        <v>-0.23045799999817973</v>
      </c>
      <c r="K73" s="75">
        <f t="shared" ref="K73:K77" si="18">+G73</f>
        <v>-0.23045799999817973</v>
      </c>
      <c r="O73" s="75">
        <f t="shared" ref="O73:O77" ca="1" si="19">+C$11+C$12*$F73</f>
        <v>-0.22659677207149756</v>
      </c>
      <c r="P73" s="75">
        <f t="shared" ref="P73:P77" ca="1" si="20">+D$11+D$12*$F73</f>
        <v>-0.17969983937267631</v>
      </c>
      <c r="Q73" s="76">
        <f t="shared" ref="Q73:Q77" si="21">+C73-15018.5</f>
        <v>43880.107400000001</v>
      </c>
      <c r="R73" s="75">
        <f t="shared" si="14"/>
        <v>-0.23045799999817973</v>
      </c>
    </row>
    <row r="74" spans="1:19" s="75" customFormat="1" ht="12" customHeight="1">
      <c r="A74" s="70" t="s">
        <v>192</v>
      </c>
      <c r="B74" s="71" t="s">
        <v>47</v>
      </c>
      <c r="C74" s="78">
        <v>58904.3943</v>
      </c>
      <c r="D74" s="72">
        <v>2.0000000000000001E-4</v>
      </c>
      <c r="E74" s="75">
        <f t="shared" si="15"/>
        <v>8313.4534655962034</v>
      </c>
      <c r="F74" s="75">
        <f t="shared" si="16"/>
        <v>8313.5</v>
      </c>
      <c r="G74" s="75">
        <f t="shared" si="17"/>
        <v>-0.17789600000105565</v>
      </c>
      <c r="K74" s="75">
        <f t="shared" si="18"/>
        <v>-0.17789600000105565</v>
      </c>
      <c r="O74" s="75">
        <f t="shared" ca="1" si="19"/>
        <v>-0.22663728224425936</v>
      </c>
      <c r="P74" s="75">
        <f t="shared" ca="1" si="20"/>
        <v>-0.17973920946669764</v>
      </c>
      <c r="Q74" s="76">
        <f t="shared" si="21"/>
        <v>43885.8943</v>
      </c>
      <c r="R74" s="75">
        <f t="shared" si="14"/>
        <v>-0.17789600000105565</v>
      </c>
    </row>
    <row r="75" spans="1:19" s="75" customFormat="1" ht="12" customHeight="1">
      <c r="A75" s="70" t="s">
        <v>193</v>
      </c>
      <c r="B75" s="71" t="s">
        <v>47</v>
      </c>
      <c r="C75" s="78">
        <v>59150.916299999997</v>
      </c>
      <c r="D75" s="72">
        <v>2.0000000000000001E-4</v>
      </c>
      <c r="E75" s="75">
        <f t="shared" si="15"/>
        <v>8377.9392004796355</v>
      </c>
      <c r="F75" s="75">
        <f t="shared" si="16"/>
        <v>8378</v>
      </c>
      <c r="G75" s="75">
        <f t="shared" si="17"/>
        <v>-0.2324300000036601</v>
      </c>
      <c r="K75" s="75">
        <f t="shared" si="18"/>
        <v>-0.2324300000036601</v>
      </c>
      <c r="O75" s="75">
        <f t="shared" ca="1" si="19"/>
        <v>-0.22837921967301686</v>
      </c>
      <c r="P75" s="75">
        <f t="shared" ca="1" si="20"/>
        <v>-0.18143212350961285</v>
      </c>
      <c r="Q75" s="76">
        <f t="shared" si="21"/>
        <v>44132.416299999997</v>
      </c>
      <c r="R75" s="75">
        <f t="shared" si="14"/>
        <v>-0.2324300000036601</v>
      </c>
    </row>
    <row r="76" spans="1:19" s="75" customFormat="1" ht="12" customHeight="1">
      <c r="A76" s="70" t="s">
        <v>193</v>
      </c>
      <c r="B76" s="71" t="s">
        <v>47</v>
      </c>
      <c r="C76" s="78">
        <v>59242.665699999998</v>
      </c>
      <c r="D76" s="72">
        <v>2.0000000000000001E-4</v>
      </c>
      <c r="E76" s="75">
        <f t="shared" si="15"/>
        <v>8401.9391983869791</v>
      </c>
      <c r="F76" s="75">
        <f t="shared" si="16"/>
        <v>8402</v>
      </c>
      <c r="G76" s="75">
        <f t="shared" si="17"/>
        <v>-0.23243800000636838</v>
      </c>
      <c r="K76" s="75">
        <f t="shared" si="18"/>
        <v>-0.23243800000636838</v>
      </c>
      <c r="O76" s="75">
        <f t="shared" ca="1" si="19"/>
        <v>-0.22902738243720572</v>
      </c>
      <c r="P76" s="75">
        <f t="shared" ca="1" si="20"/>
        <v>-0.1820620450139534</v>
      </c>
      <c r="Q76" s="76">
        <f t="shared" si="21"/>
        <v>44224.165699999998</v>
      </c>
      <c r="R76" s="75">
        <f t="shared" si="14"/>
        <v>-0.23243800000636838</v>
      </c>
    </row>
    <row r="77" spans="1:19" s="75" customFormat="1" ht="12" customHeight="1">
      <c r="A77" s="72" t="s">
        <v>194</v>
      </c>
      <c r="B77" s="71" t="s">
        <v>47</v>
      </c>
      <c r="C77" s="78">
        <v>59540.849399999999</v>
      </c>
      <c r="D77" s="72">
        <v>2.0000000000000001E-4</v>
      </c>
      <c r="E77" s="75">
        <f t="shared" si="15"/>
        <v>8479.9387076590174</v>
      </c>
      <c r="F77" s="75">
        <f t="shared" si="16"/>
        <v>8480</v>
      </c>
      <c r="G77" s="75">
        <f t="shared" si="17"/>
        <v>-0.23431400000117719</v>
      </c>
      <c r="K77" s="75">
        <f t="shared" si="18"/>
        <v>-0.23431400000117719</v>
      </c>
      <c r="O77" s="75">
        <f t="shared" ca="1" si="19"/>
        <v>-0.23113391142081943</v>
      </c>
      <c r="P77" s="75">
        <f t="shared" ca="1" si="20"/>
        <v>-0.18410928990306019</v>
      </c>
      <c r="Q77" s="76">
        <f t="shared" si="21"/>
        <v>44522.349399999999</v>
      </c>
      <c r="R77" s="75">
        <f t="shared" si="14"/>
        <v>-0.23431400000117719</v>
      </c>
    </row>
    <row r="78" spans="1:19" s="75" customFormat="1" ht="12" customHeight="1">
      <c r="A78" s="73" t="s">
        <v>195</v>
      </c>
      <c r="B78" s="74" t="s">
        <v>47</v>
      </c>
      <c r="C78" s="78">
        <v>59884.906300000002</v>
      </c>
      <c r="D78" s="72">
        <v>2.0000000000000001E-4</v>
      </c>
      <c r="E78" s="75">
        <f t="shared" ref="E78" si="22">+(C78-C$7)/C$8</f>
        <v>8569.9378235116255</v>
      </c>
      <c r="F78" s="75">
        <f t="shared" ref="F78" si="23">ROUND(2*E78,0)/2</f>
        <v>8570</v>
      </c>
      <c r="G78" s="75">
        <f t="shared" ref="G78" si="24">+C78-(C$7+F78*C$8)</f>
        <v>-0.23769399999582674</v>
      </c>
      <c r="K78" s="75">
        <f t="shared" ref="K78" si="25">+G78</f>
        <v>-0.23769399999582674</v>
      </c>
      <c r="O78" s="75">
        <f t="shared" ref="O78" ca="1" si="26">+C$11+C$12*$F78</f>
        <v>-0.23356452178652756</v>
      </c>
      <c r="P78" s="75">
        <f t="shared" ref="P78" ca="1" si="27">+D$11+D$12*$F78</f>
        <v>-0.18647149554433728</v>
      </c>
      <c r="Q78" s="76">
        <f t="shared" ref="Q78" si="28">+C78-15018.5</f>
        <v>44866.406300000002</v>
      </c>
      <c r="R78" s="75">
        <f t="shared" ref="R78" si="29">G78</f>
        <v>-0.23769399999582674</v>
      </c>
    </row>
    <row r="79" spans="1:19" s="75" customFormat="1" ht="12" customHeight="1">
      <c r="A79" s="77" t="s">
        <v>196</v>
      </c>
      <c r="B79" s="82" t="s">
        <v>54</v>
      </c>
      <c r="C79" s="79">
        <v>59959.506000000052</v>
      </c>
      <c r="D79" s="72">
        <v>2E-3</v>
      </c>
      <c r="E79" s="75">
        <f t="shared" ref="E79" si="30">+(C79-C$7)/C$8</f>
        <v>8589.4517674054223</v>
      </c>
      <c r="F79" s="75">
        <f t="shared" ref="F79" si="31">ROUND(2*E79,0)/2</f>
        <v>8589.5</v>
      </c>
      <c r="G79" s="75">
        <f t="shared" ref="G79" si="32">+C79-(C$7+F79*C$8)</f>
        <v>-0.18438799995055888</v>
      </c>
      <c r="K79" s="75">
        <f t="shared" ref="K79" si="33">+G79</f>
        <v>-0.18438799995055888</v>
      </c>
      <c r="O79" s="75">
        <f t="shared" ref="O79" ca="1" si="34">+C$11+C$12*$F79</f>
        <v>-0.234091154032431</v>
      </c>
      <c r="P79" s="75">
        <f t="shared" ref="P79" ca="1" si="35">+D$11+D$12*$F79</f>
        <v>-0.18698330676661401</v>
      </c>
      <c r="Q79" s="76">
        <f t="shared" ref="Q79" si="36">+C79-15018.5</f>
        <v>44941.006000000052</v>
      </c>
      <c r="S79" s="75">
        <f>G79</f>
        <v>-0.18438799995055888</v>
      </c>
    </row>
    <row r="80" spans="1:19" s="75" customFormat="1" ht="12" customHeight="1">
      <c r="C80" s="80"/>
      <c r="D80" s="81"/>
    </row>
    <row r="81" spans="3:4" s="75" customFormat="1" ht="12" customHeight="1">
      <c r="C81" s="80"/>
      <c r="D81" s="81"/>
    </row>
    <row r="82" spans="3:4" s="75" customFormat="1" ht="12" customHeight="1">
      <c r="C82" s="80"/>
      <c r="D82" s="81"/>
    </row>
    <row r="83" spans="3:4" s="75" customFormat="1" ht="12" customHeight="1">
      <c r="C83" s="80"/>
      <c r="D83" s="81"/>
    </row>
    <row r="84" spans="3:4" s="75" customFormat="1" ht="12" customHeight="1">
      <c r="C84" s="80"/>
      <c r="D84" s="81"/>
    </row>
    <row r="85" spans="3:4" s="75" customFormat="1" ht="12" customHeight="1">
      <c r="C85" s="80"/>
      <c r="D85" s="81"/>
    </row>
    <row r="86" spans="3:4" s="75" customFormat="1" ht="12" customHeight="1">
      <c r="C86" s="80"/>
      <c r="D86" s="81"/>
    </row>
    <row r="87" spans="3:4" s="75" customFormat="1" ht="12" customHeight="1">
      <c r="C87" s="81"/>
      <c r="D87" s="81"/>
    </row>
    <row r="88" spans="3:4" s="75" customFormat="1" ht="12" customHeight="1">
      <c r="C88" s="81"/>
      <c r="D88" s="81"/>
    </row>
    <row r="89" spans="3:4" s="75" customFormat="1" ht="12" customHeight="1">
      <c r="C89" s="81"/>
      <c r="D89" s="81"/>
    </row>
    <row r="90" spans="3:4" s="75" customFormat="1" ht="12" customHeight="1">
      <c r="C90" s="81"/>
      <c r="D90" s="81"/>
    </row>
    <row r="91" spans="3:4" s="75" customFormat="1" ht="12" customHeight="1">
      <c r="C91" s="81"/>
      <c r="D91" s="81"/>
    </row>
    <row r="92" spans="3:4" s="75" customFormat="1" ht="12" customHeight="1">
      <c r="C92" s="81"/>
      <c r="D92" s="81"/>
    </row>
    <row r="93" spans="3:4" s="75" customFormat="1" ht="12" customHeight="1">
      <c r="C93" s="81"/>
      <c r="D93" s="81"/>
    </row>
    <row r="94" spans="3:4" s="75" customFormat="1" ht="12" customHeight="1">
      <c r="C94" s="81"/>
      <c r="D94" s="81"/>
    </row>
    <row r="95" spans="3:4" s="75" customFormat="1" ht="12" customHeight="1">
      <c r="C95" s="81"/>
      <c r="D95" s="81"/>
    </row>
    <row r="96" spans="3:4" s="75" customFormat="1" ht="12" customHeight="1">
      <c r="C96" s="81"/>
      <c r="D96" s="81"/>
    </row>
    <row r="97" spans="3:4" s="75" customFormat="1" ht="12" customHeight="1">
      <c r="C97" s="81"/>
      <c r="D97" s="81"/>
    </row>
    <row r="98" spans="3:4" s="75" customFormat="1" ht="12" customHeight="1">
      <c r="C98" s="81"/>
      <c r="D98" s="81"/>
    </row>
    <row r="99" spans="3:4" s="75" customFormat="1" ht="12" customHeight="1">
      <c r="C99" s="81"/>
      <c r="D99" s="81"/>
    </row>
    <row r="100" spans="3:4" s="75" customFormat="1" ht="12" customHeight="1">
      <c r="C100" s="81"/>
      <c r="D100" s="81"/>
    </row>
    <row r="101" spans="3:4" s="75" customFormat="1" ht="12" customHeight="1">
      <c r="C101" s="81"/>
      <c r="D101" s="81"/>
    </row>
    <row r="102" spans="3:4" s="75" customFormat="1" ht="12" customHeight="1">
      <c r="C102" s="81"/>
      <c r="D102" s="81"/>
    </row>
    <row r="103" spans="3:4" s="75" customFormat="1" ht="12" customHeight="1">
      <c r="C103" s="81"/>
      <c r="D103" s="81"/>
    </row>
    <row r="104" spans="3:4" s="75" customFormat="1" ht="12" customHeight="1">
      <c r="C104" s="81"/>
      <c r="D104" s="81"/>
    </row>
    <row r="105" spans="3:4" s="75" customFormat="1" ht="12" customHeight="1">
      <c r="C105" s="81"/>
      <c r="D105" s="81"/>
    </row>
    <row r="106" spans="3:4" s="75" customFormat="1" ht="12" customHeight="1">
      <c r="C106" s="81"/>
      <c r="D106" s="81"/>
    </row>
    <row r="107" spans="3:4" s="75" customFormat="1" ht="12" customHeight="1">
      <c r="C107" s="81"/>
      <c r="D107" s="81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</sheetData>
  <protectedRanges>
    <protectedRange sqref="A66:D70" name="Range1"/>
  </protectedRanges>
  <phoneticPr fontId="8" type="noConversion"/>
  <hyperlinks>
    <hyperlink ref="H64574" r:id="rId1" display="http://vsolj.cetus-net.org/bulletin.html" xr:uid="{00000000-0004-0000-0000-000000000000}"/>
    <hyperlink ref="H64567" r:id="rId2" display="https://www.aavso.org/ejaavso" xr:uid="{00000000-0004-0000-0000-000001000000}"/>
    <hyperlink ref="I64574" r:id="rId3" display="http://vsolj.cetus-net.org/bulletin.html" xr:uid="{00000000-0004-0000-0000-000002000000}"/>
    <hyperlink ref="AQ58225" r:id="rId4" display="http://cdsbib.u-strasbg.fr/cgi-bin/cdsbib?1990RMxAA..21..381G" xr:uid="{00000000-0004-0000-0000-000003000000}"/>
    <hyperlink ref="H64571" r:id="rId5" display="https://www.aavso.org/ejaavso" xr:uid="{00000000-0004-0000-0000-000004000000}"/>
    <hyperlink ref="AP5589" r:id="rId6" display="http://cdsbib.u-strasbg.fr/cgi-bin/cdsbib?1990RMxAA..21..381G" xr:uid="{00000000-0004-0000-0000-000005000000}"/>
    <hyperlink ref="AP5592" r:id="rId7" display="http://cdsbib.u-strasbg.fr/cgi-bin/cdsbib?1990RMxAA..21..381G" xr:uid="{00000000-0004-0000-0000-000006000000}"/>
    <hyperlink ref="AP5590" r:id="rId8" display="http://cdsbib.u-strasbg.fr/cgi-bin/cdsbib?1990RMxAA..21..381G" xr:uid="{00000000-0004-0000-0000-000007000000}"/>
    <hyperlink ref="AP5574" r:id="rId9" display="http://cdsbib.u-strasbg.fr/cgi-bin/cdsbib?1990RMxAA..21..381G" xr:uid="{00000000-0004-0000-0000-000008000000}"/>
    <hyperlink ref="AQ5803" r:id="rId10" display="http://cdsbib.u-strasbg.fr/cgi-bin/cdsbib?1990RMxAA..21..381G" xr:uid="{00000000-0004-0000-0000-000009000000}"/>
    <hyperlink ref="AQ5807" r:id="rId11" display="http://cdsbib.u-strasbg.fr/cgi-bin/cdsbib?1990RMxAA..21..381G" xr:uid="{00000000-0004-0000-0000-00000A000000}"/>
    <hyperlink ref="AQ65487" r:id="rId12" display="http://cdsbib.u-strasbg.fr/cgi-bin/cdsbib?1990RMxAA..21..381G" xr:uid="{00000000-0004-0000-0000-00000B000000}"/>
    <hyperlink ref="I2695" r:id="rId13" display="http://vsolj.cetus-net.org/bulletin.html" xr:uid="{00000000-0004-0000-0000-00000C000000}"/>
    <hyperlink ref="H2695" r:id="rId14" display="http://vsolj.cetus-net.org/bulletin.html" xr:uid="{00000000-0004-0000-0000-00000D000000}"/>
    <hyperlink ref="AQ612" r:id="rId15" display="http://cdsbib.u-strasbg.fr/cgi-bin/cdsbib?1990RMxAA..21..381G" xr:uid="{00000000-0004-0000-0000-00000E000000}"/>
    <hyperlink ref="AQ611" r:id="rId16" display="http://cdsbib.u-strasbg.fr/cgi-bin/cdsbib?1990RMxAA..21..381G" xr:uid="{00000000-0004-0000-0000-00000F000000}"/>
    <hyperlink ref="AP3865" r:id="rId17" display="http://cdsbib.u-strasbg.fr/cgi-bin/cdsbib?1990RMxAA..21..381G" xr:uid="{00000000-0004-0000-0000-000010000000}"/>
    <hyperlink ref="AP3883" r:id="rId18" display="http://cdsbib.u-strasbg.fr/cgi-bin/cdsbib?1990RMxAA..21..381G" xr:uid="{00000000-0004-0000-0000-000011000000}"/>
    <hyperlink ref="AP3884" r:id="rId19" display="http://cdsbib.u-strasbg.fr/cgi-bin/cdsbib?1990RMxAA..21..381G" xr:uid="{00000000-0004-0000-0000-000012000000}"/>
    <hyperlink ref="AP38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B9FF-4986-40BC-89F1-774327E8C522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22" sqref="A22:D42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5" t="s">
        <v>55</v>
      </c>
      <c r="I1" s="36" t="s">
        <v>56</v>
      </c>
      <c r="J1" s="37" t="s">
        <v>57</v>
      </c>
    </row>
    <row r="2" spans="1:16">
      <c r="I2" s="38" t="s">
        <v>58</v>
      </c>
      <c r="J2" s="39" t="s">
        <v>59</v>
      </c>
    </row>
    <row r="3" spans="1:16">
      <c r="A3" s="40" t="s">
        <v>60</v>
      </c>
      <c r="I3" s="38" t="s">
        <v>61</v>
      </c>
      <c r="J3" s="39" t="s">
        <v>62</v>
      </c>
    </row>
    <row r="4" spans="1:16">
      <c r="I4" s="38" t="s">
        <v>63</v>
      </c>
      <c r="J4" s="39" t="s">
        <v>62</v>
      </c>
    </row>
    <row r="5" spans="1:16" ht="13.5" thickBot="1">
      <c r="I5" s="41" t="s">
        <v>64</v>
      </c>
      <c r="J5" s="42" t="s">
        <v>65</v>
      </c>
    </row>
    <row r="10" spans="1:16" ht="13.5" thickBot="1"/>
    <row r="11" spans="1:16" ht="12.75" customHeight="1" thickBot="1">
      <c r="A11" s="10" t="str">
        <f t="shared" ref="A11:A42" si="0">P11</f>
        <v> PSMO 8.2.102 </v>
      </c>
      <c r="B11" s="9" t="str">
        <f t="shared" ref="B11:B42" si="1">IF(H11=INT(H11),"I","II")</f>
        <v>II</v>
      </c>
      <c r="C11" s="10">
        <f t="shared" ref="C11:C42" si="2">1*G11</f>
        <v>27124.870999999999</v>
      </c>
      <c r="D11" s="14" t="str">
        <f t="shared" ref="D11:D42" si="3">VLOOKUP(F11,I$1:J$5,2,FALSE)</f>
        <v>vis</v>
      </c>
      <c r="E11" s="43">
        <f>VLOOKUP(C11,'Active 1'!C$21:E$973,3,FALSE)</f>
        <v>0.49999999999954226</v>
      </c>
      <c r="F11" s="9" t="s">
        <v>64</v>
      </c>
      <c r="G11" s="14" t="str">
        <f t="shared" ref="G11:G42" si="4">MID(I11,3,LEN(I11)-3)</f>
        <v>27124.871</v>
      </c>
      <c r="H11" s="10">
        <f t="shared" ref="H11:H42" si="5">1*K11</f>
        <v>-7214.5</v>
      </c>
      <c r="I11" s="44" t="s">
        <v>66</v>
      </c>
      <c r="J11" s="45" t="s">
        <v>67</v>
      </c>
      <c r="K11" s="44">
        <v>-7214.5</v>
      </c>
      <c r="L11" s="44" t="s">
        <v>68</v>
      </c>
      <c r="M11" s="45" t="s">
        <v>69</v>
      </c>
      <c r="N11" s="45"/>
      <c r="O11" s="46" t="s">
        <v>70</v>
      </c>
      <c r="P11" s="46" t="s">
        <v>71</v>
      </c>
    </row>
    <row r="12" spans="1:16" ht="12.75" customHeight="1" thickBot="1">
      <c r="A12" s="10" t="str">
        <f t="shared" si="0"/>
        <v> BBS 86 </v>
      </c>
      <c r="B12" s="9" t="str">
        <f t="shared" si="1"/>
        <v>II</v>
      </c>
      <c r="C12" s="10">
        <f t="shared" si="2"/>
        <v>47141.487000000001</v>
      </c>
      <c r="D12" s="14" t="str">
        <f t="shared" si="3"/>
        <v>vis</v>
      </c>
      <c r="E12" s="43">
        <f>VLOOKUP(C12,'Active 1'!C$21:E$973,3,FALSE)</f>
        <v>5236.4878332947937</v>
      </c>
      <c r="F12" s="9" t="s">
        <v>64</v>
      </c>
      <c r="G12" s="14" t="str">
        <f t="shared" si="4"/>
        <v>47141.487</v>
      </c>
      <c r="H12" s="10">
        <f t="shared" si="5"/>
        <v>-1978.5</v>
      </c>
      <c r="I12" s="44" t="s">
        <v>112</v>
      </c>
      <c r="J12" s="45" t="s">
        <v>113</v>
      </c>
      <c r="K12" s="44">
        <v>-1978.5</v>
      </c>
      <c r="L12" s="44" t="s">
        <v>114</v>
      </c>
      <c r="M12" s="45" t="s">
        <v>69</v>
      </c>
      <c r="N12" s="45"/>
      <c r="O12" s="46" t="s">
        <v>115</v>
      </c>
      <c r="P12" s="46" t="s">
        <v>116</v>
      </c>
    </row>
    <row r="13" spans="1:16" ht="12.75" customHeight="1" thickBot="1">
      <c r="A13" s="10" t="str">
        <f t="shared" si="0"/>
        <v>IBVS 5502 </v>
      </c>
      <c r="B13" s="9" t="str">
        <f t="shared" si="1"/>
        <v>I</v>
      </c>
      <c r="C13" s="10">
        <f t="shared" si="2"/>
        <v>52980.810700000002</v>
      </c>
      <c r="D13" s="14" t="str">
        <f t="shared" si="3"/>
        <v>vis</v>
      </c>
      <c r="E13" s="43">
        <f>VLOOKUP(C13,'Active 1'!C$21:E$973,3,FALSE)</f>
        <v>6763.9502099457695</v>
      </c>
      <c r="F13" s="9" t="s">
        <v>64</v>
      </c>
      <c r="G13" s="14" t="str">
        <f t="shared" si="4"/>
        <v>52980.8107</v>
      </c>
      <c r="H13" s="10">
        <f t="shared" si="5"/>
        <v>-451</v>
      </c>
      <c r="I13" s="44" t="s">
        <v>123</v>
      </c>
      <c r="J13" s="45" t="s">
        <v>124</v>
      </c>
      <c r="K13" s="44">
        <v>-451</v>
      </c>
      <c r="L13" s="44" t="s">
        <v>125</v>
      </c>
      <c r="M13" s="45" t="s">
        <v>126</v>
      </c>
      <c r="N13" s="45" t="s">
        <v>127</v>
      </c>
      <c r="O13" s="46" t="s">
        <v>128</v>
      </c>
      <c r="P13" s="47" t="s">
        <v>129</v>
      </c>
    </row>
    <row r="14" spans="1:16" ht="12.75" customHeight="1" thickBot="1">
      <c r="A14" s="10" t="str">
        <f t="shared" si="0"/>
        <v>JAAVSO 36(2);171 </v>
      </c>
      <c r="B14" s="9" t="str">
        <f t="shared" si="1"/>
        <v>I</v>
      </c>
      <c r="C14" s="10">
        <f t="shared" si="2"/>
        <v>54494.665300000001</v>
      </c>
      <c r="D14" s="14" t="str">
        <f t="shared" si="3"/>
        <v>vis</v>
      </c>
      <c r="E14" s="43">
        <f>VLOOKUP(C14,'Active 1'!C$21:E$973,3,FALSE)</f>
        <v>7159.9474288052079</v>
      </c>
      <c r="F14" s="9" t="s">
        <v>64</v>
      </c>
      <c r="G14" s="14" t="str">
        <f t="shared" si="4"/>
        <v>54494.6653</v>
      </c>
      <c r="H14" s="10">
        <f t="shared" si="5"/>
        <v>-55</v>
      </c>
      <c r="I14" s="44" t="s">
        <v>146</v>
      </c>
      <c r="J14" s="45" t="s">
        <v>147</v>
      </c>
      <c r="K14" s="44">
        <v>-55</v>
      </c>
      <c r="L14" s="44" t="s">
        <v>148</v>
      </c>
      <c r="M14" s="45" t="s">
        <v>120</v>
      </c>
      <c r="N14" s="45" t="s">
        <v>121</v>
      </c>
      <c r="O14" s="46" t="s">
        <v>142</v>
      </c>
      <c r="P14" s="47" t="s">
        <v>149</v>
      </c>
    </row>
    <row r="15" spans="1:16" ht="12.75" customHeight="1" thickBot="1">
      <c r="A15" s="10" t="str">
        <f t="shared" si="0"/>
        <v>JAAVSO 36(2);171 </v>
      </c>
      <c r="B15" s="9" t="str">
        <f t="shared" si="1"/>
        <v>I</v>
      </c>
      <c r="C15" s="10">
        <f t="shared" si="2"/>
        <v>54517.602299999999</v>
      </c>
      <c r="D15" s="14" t="str">
        <f t="shared" si="3"/>
        <v>vis</v>
      </c>
      <c r="E15" s="43">
        <f>VLOOKUP(C15,'Active 1'!C$21:E$973,3,FALSE)</f>
        <v>7165.947336728319</v>
      </c>
      <c r="F15" s="9" t="s">
        <v>64</v>
      </c>
      <c r="G15" s="14" t="str">
        <f t="shared" si="4"/>
        <v>54517.6023</v>
      </c>
      <c r="H15" s="10">
        <f t="shared" si="5"/>
        <v>-49</v>
      </c>
      <c r="I15" s="44" t="s">
        <v>150</v>
      </c>
      <c r="J15" s="45" t="s">
        <v>151</v>
      </c>
      <c r="K15" s="44">
        <v>-49</v>
      </c>
      <c r="L15" s="44" t="s">
        <v>152</v>
      </c>
      <c r="M15" s="45" t="s">
        <v>120</v>
      </c>
      <c r="N15" s="45" t="s">
        <v>121</v>
      </c>
      <c r="O15" s="46" t="s">
        <v>83</v>
      </c>
      <c r="P15" s="47" t="s">
        <v>149</v>
      </c>
    </row>
    <row r="16" spans="1:16" ht="12.75" customHeight="1" thickBot="1">
      <c r="A16" s="10" t="str">
        <f t="shared" si="0"/>
        <v>JAAVSO 36(2);186 </v>
      </c>
      <c r="B16" s="9" t="str">
        <f t="shared" si="1"/>
        <v>II</v>
      </c>
      <c r="C16" s="10">
        <f t="shared" si="2"/>
        <v>54538.676500000001</v>
      </c>
      <c r="D16" s="14" t="str">
        <f t="shared" si="3"/>
        <v>vis</v>
      </c>
      <c r="E16" s="43">
        <f>VLOOKUP(C16,'Active 1'!C$21:E$973,3,FALSE)</f>
        <v>7171.4599695727738</v>
      </c>
      <c r="F16" s="9" t="s">
        <v>64</v>
      </c>
      <c r="G16" s="14" t="str">
        <f t="shared" si="4"/>
        <v>54538.6765</v>
      </c>
      <c r="H16" s="10">
        <f t="shared" si="5"/>
        <v>-43.5</v>
      </c>
      <c r="I16" s="44" t="s">
        <v>153</v>
      </c>
      <c r="J16" s="45" t="s">
        <v>154</v>
      </c>
      <c r="K16" s="44">
        <v>-43.5</v>
      </c>
      <c r="L16" s="44" t="s">
        <v>155</v>
      </c>
      <c r="M16" s="45" t="s">
        <v>120</v>
      </c>
      <c r="N16" s="45" t="s">
        <v>156</v>
      </c>
      <c r="O16" s="46" t="s">
        <v>142</v>
      </c>
      <c r="P16" s="47" t="s">
        <v>157</v>
      </c>
    </row>
    <row r="17" spans="1:16" ht="12.75" customHeight="1" thickBot="1">
      <c r="A17" s="10" t="str">
        <f t="shared" si="0"/>
        <v> JAAVSO 37;44 </v>
      </c>
      <c r="B17" s="9" t="str">
        <f t="shared" si="1"/>
        <v>I</v>
      </c>
      <c r="C17" s="10">
        <f t="shared" si="2"/>
        <v>54792.848700000002</v>
      </c>
      <c r="D17" s="14" t="str">
        <f t="shared" si="3"/>
        <v>vis</v>
      </c>
      <c r="E17" s="43">
        <f>VLOOKUP(C17,'Active 1'!C$21:E$973,3,FALSE)</f>
        <v>7237.9468596026263</v>
      </c>
      <c r="F17" s="9" t="s">
        <v>64</v>
      </c>
      <c r="G17" s="14" t="str">
        <f t="shared" si="4"/>
        <v>54792.8487</v>
      </c>
      <c r="H17" s="10">
        <f t="shared" si="5"/>
        <v>23</v>
      </c>
      <c r="I17" s="44" t="s">
        <v>158</v>
      </c>
      <c r="J17" s="45" t="s">
        <v>159</v>
      </c>
      <c r="K17" s="44">
        <v>23</v>
      </c>
      <c r="L17" s="44" t="s">
        <v>160</v>
      </c>
      <c r="M17" s="45" t="s">
        <v>120</v>
      </c>
      <c r="N17" s="45" t="s">
        <v>121</v>
      </c>
      <c r="O17" s="46" t="s">
        <v>83</v>
      </c>
      <c r="P17" s="46" t="s">
        <v>161</v>
      </c>
    </row>
    <row r="18" spans="1:16" ht="12.75" customHeight="1" thickBot="1">
      <c r="A18" s="10" t="str">
        <f t="shared" si="0"/>
        <v> JAAVSO 37;44 </v>
      </c>
      <c r="B18" s="9" t="str">
        <f t="shared" si="1"/>
        <v>II</v>
      </c>
      <c r="C18" s="10">
        <f t="shared" si="2"/>
        <v>54863.621500000001</v>
      </c>
      <c r="D18" s="14" t="str">
        <f t="shared" si="3"/>
        <v>vis</v>
      </c>
      <c r="E18" s="43">
        <f>VLOOKUP(C18,'Active 1'!C$21:E$973,3,FALSE)</f>
        <v>7256.459755075477</v>
      </c>
      <c r="F18" s="9" t="s">
        <v>64</v>
      </c>
      <c r="G18" s="14" t="str">
        <f t="shared" si="4"/>
        <v>54863.6215</v>
      </c>
      <c r="H18" s="10">
        <f t="shared" si="5"/>
        <v>41.5</v>
      </c>
      <c r="I18" s="44" t="s">
        <v>162</v>
      </c>
      <c r="J18" s="45" t="s">
        <v>163</v>
      </c>
      <c r="K18" s="44">
        <v>41.5</v>
      </c>
      <c r="L18" s="44" t="s">
        <v>164</v>
      </c>
      <c r="M18" s="45" t="s">
        <v>120</v>
      </c>
      <c r="N18" s="45" t="s">
        <v>121</v>
      </c>
      <c r="O18" s="46" t="s">
        <v>83</v>
      </c>
      <c r="P18" s="46" t="s">
        <v>161</v>
      </c>
    </row>
    <row r="19" spans="1:16" ht="12.75" customHeight="1" thickBot="1">
      <c r="A19" s="10" t="str">
        <f t="shared" si="0"/>
        <v> JAAVSO 38;120 </v>
      </c>
      <c r="B19" s="9" t="str">
        <f t="shared" si="1"/>
        <v>II</v>
      </c>
      <c r="C19" s="10">
        <f t="shared" si="2"/>
        <v>55138.867400000003</v>
      </c>
      <c r="D19" s="14" t="str">
        <f t="shared" si="3"/>
        <v>vis</v>
      </c>
      <c r="E19" s="43">
        <f>VLOOKUP(C19,'Active 1'!C$21:E$973,3,FALSE)</f>
        <v>7328.4591471587482</v>
      </c>
      <c r="F19" s="9" t="s">
        <v>64</v>
      </c>
      <c r="G19" s="14" t="str">
        <f t="shared" si="4"/>
        <v>55138.8674</v>
      </c>
      <c r="H19" s="10">
        <f t="shared" si="5"/>
        <v>113.5</v>
      </c>
      <c r="I19" s="44" t="s">
        <v>169</v>
      </c>
      <c r="J19" s="45" t="s">
        <v>170</v>
      </c>
      <c r="K19" s="44">
        <v>113.5</v>
      </c>
      <c r="L19" s="44" t="s">
        <v>171</v>
      </c>
      <c r="M19" s="45" t="s">
        <v>120</v>
      </c>
      <c r="N19" s="45" t="s">
        <v>121</v>
      </c>
      <c r="O19" s="46" t="s">
        <v>83</v>
      </c>
      <c r="P19" s="46" t="s">
        <v>172</v>
      </c>
    </row>
    <row r="20" spans="1:16" ht="12.75" customHeight="1" thickBot="1">
      <c r="A20" s="10" t="str">
        <f t="shared" si="0"/>
        <v> JAAVSO 38;120 </v>
      </c>
      <c r="B20" s="9" t="str">
        <f t="shared" si="1"/>
        <v>I</v>
      </c>
      <c r="C20" s="10">
        <f t="shared" si="2"/>
        <v>55182.781600000002</v>
      </c>
      <c r="D20" s="14" t="str">
        <f t="shared" si="3"/>
        <v>vis</v>
      </c>
      <c r="E20" s="43">
        <f>VLOOKUP(C20,'Active 1'!C$21:E$973,3,FALSE)</f>
        <v>7339.9463144655938</v>
      </c>
      <c r="F20" s="9" t="s">
        <v>64</v>
      </c>
      <c r="G20" s="14" t="str">
        <f t="shared" si="4"/>
        <v>55182.7816</v>
      </c>
      <c r="H20" s="10">
        <f t="shared" si="5"/>
        <v>125</v>
      </c>
      <c r="I20" s="44" t="s">
        <v>173</v>
      </c>
      <c r="J20" s="45" t="s">
        <v>174</v>
      </c>
      <c r="K20" s="44">
        <v>125</v>
      </c>
      <c r="L20" s="44" t="s">
        <v>152</v>
      </c>
      <c r="M20" s="45" t="s">
        <v>120</v>
      </c>
      <c r="N20" s="45" t="s">
        <v>121</v>
      </c>
      <c r="O20" s="46" t="s">
        <v>83</v>
      </c>
      <c r="P20" s="46" t="s">
        <v>172</v>
      </c>
    </row>
    <row r="21" spans="1:16" ht="12.75" customHeight="1" thickBot="1">
      <c r="A21" s="10" t="str">
        <f t="shared" si="0"/>
        <v> JAAVSO 41;122 </v>
      </c>
      <c r="B21" s="9" t="str">
        <f t="shared" si="1"/>
        <v>I</v>
      </c>
      <c r="C21" s="10">
        <f t="shared" si="2"/>
        <v>55962.646399999998</v>
      </c>
      <c r="D21" s="14" t="str">
        <f t="shared" si="3"/>
        <v>vis</v>
      </c>
      <c r="E21" s="43">
        <f>VLOOKUP(C21,'Active 1'!C$21:E$973,3,FALSE)</f>
        <v>7543.9449626094583</v>
      </c>
      <c r="F21" s="9" t="s">
        <v>64</v>
      </c>
      <c r="G21" s="14" t="str">
        <f t="shared" si="4"/>
        <v>55962.6464</v>
      </c>
      <c r="H21" s="10">
        <f t="shared" si="5"/>
        <v>329</v>
      </c>
      <c r="I21" s="44" t="s">
        <v>180</v>
      </c>
      <c r="J21" s="45" t="s">
        <v>181</v>
      </c>
      <c r="K21" s="44">
        <v>329</v>
      </c>
      <c r="L21" s="44" t="s">
        <v>182</v>
      </c>
      <c r="M21" s="45" t="s">
        <v>120</v>
      </c>
      <c r="N21" s="45" t="s">
        <v>64</v>
      </c>
      <c r="O21" s="46" t="s">
        <v>83</v>
      </c>
      <c r="P21" s="46" t="s">
        <v>183</v>
      </c>
    </row>
    <row r="22" spans="1:16" ht="12.75" customHeight="1" thickBot="1">
      <c r="A22" s="10" t="str">
        <f t="shared" si="0"/>
        <v> PSMO 8.2.102 </v>
      </c>
      <c r="B22" s="9" t="str">
        <f t="shared" si="1"/>
        <v>I</v>
      </c>
      <c r="C22" s="10">
        <f t="shared" si="2"/>
        <v>27868.402999999998</v>
      </c>
      <c r="D22" s="14" t="str">
        <f t="shared" si="3"/>
        <v>vis</v>
      </c>
      <c r="E22" s="43">
        <f>VLOOKUP(C22,'Active 1'!C$21:E$973,3,FALSE)</f>
        <v>194.99463913707149</v>
      </c>
      <c r="F22" s="9" t="s">
        <v>64</v>
      </c>
      <c r="G22" s="14" t="str">
        <f t="shared" si="4"/>
        <v>27868.403</v>
      </c>
      <c r="H22" s="10">
        <f t="shared" si="5"/>
        <v>-7020</v>
      </c>
      <c r="I22" s="44" t="s">
        <v>72</v>
      </c>
      <c r="J22" s="45" t="s">
        <v>73</v>
      </c>
      <c r="K22" s="44">
        <v>-7020</v>
      </c>
      <c r="L22" s="44" t="s">
        <v>74</v>
      </c>
      <c r="M22" s="45" t="s">
        <v>69</v>
      </c>
      <c r="N22" s="45"/>
      <c r="O22" s="46" t="s">
        <v>70</v>
      </c>
      <c r="P22" s="46" t="s">
        <v>71</v>
      </c>
    </row>
    <row r="23" spans="1:16" ht="12.75" customHeight="1" thickBot="1">
      <c r="A23" s="10" t="str">
        <f t="shared" si="0"/>
        <v> AOEB 11 </v>
      </c>
      <c r="B23" s="9" t="str">
        <f t="shared" si="1"/>
        <v>II</v>
      </c>
      <c r="C23" s="10">
        <f t="shared" si="2"/>
        <v>43096.843999999997</v>
      </c>
      <c r="D23" s="14" t="str">
        <f t="shared" si="3"/>
        <v>vis</v>
      </c>
      <c r="E23" s="43">
        <f>VLOOKUP(C23,'Active 1'!C$21:E$973,3,FALSE)</f>
        <v>4178.4817478495333</v>
      </c>
      <c r="F23" s="9" t="s">
        <v>64</v>
      </c>
      <c r="G23" s="14" t="str">
        <f t="shared" si="4"/>
        <v>43096.844</v>
      </c>
      <c r="H23" s="10">
        <f t="shared" si="5"/>
        <v>-3036.5</v>
      </c>
      <c r="I23" s="44" t="s">
        <v>75</v>
      </c>
      <c r="J23" s="45" t="s">
        <v>76</v>
      </c>
      <c r="K23" s="44">
        <v>-3036.5</v>
      </c>
      <c r="L23" s="44" t="s">
        <v>77</v>
      </c>
      <c r="M23" s="45" t="s">
        <v>69</v>
      </c>
      <c r="N23" s="45"/>
      <c r="O23" s="46" t="s">
        <v>78</v>
      </c>
      <c r="P23" s="46" t="s">
        <v>79</v>
      </c>
    </row>
    <row r="24" spans="1:16" ht="12.75" customHeight="1" thickBot="1">
      <c r="A24" s="10" t="str">
        <f t="shared" si="0"/>
        <v> AOEB 11 </v>
      </c>
      <c r="B24" s="9" t="str">
        <f t="shared" si="1"/>
        <v>II</v>
      </c>
      <c r="C24" s="10">
        <f t="shared" si="2"/>
        <v>43165.637999999999</v>
      </c>
      <c r="D24" s="14" t="str">
        <f t="shared" si="3"/>
        <v>vis</v>
      </c>
      <c r="E24" s="43">
        <f>VLOOKUP(C24,'Active 1'!C$21:E$973,3,FALSE)</f>
        <v>4196.4770247236902</v>
      </c>
      <c r="F24" s="9" t="s">
        <v>64</v>
      </c>
      <c r="G24" s="14" t="str">
        <f t="shared" si="4"/>
        <v>43165.638</v>
      </c>
      <c r="H24" s="10">
        <f t="shared" si="5"/>
        <v>-3018.5</v>
      </c>
      <c r="I24" s="44" t="s">
        <v>80</v>
      </c>
      <c r="J24" s="45" t="s">
        <v>81</v>
      </c>
      <c r="K24" s="44">
        <v>-3018.5</v>
      </c>
      <c r="L24" s="44" t="s">
        <v>82</v>
      </c>
      <c r="M24" s="45" t="s">
        <v>69</v>
      </c>
      <c r="N24" s="45"/>
      <c r="O24" s="46" t="s">
        <v>83</v>
      </c>
      <c r="P24" s="46" t="s">
        <v>79</v>
      </c>
    </row>
    <row r="25" spans="1:16" ht="12.75" customHeight="1" thickBot="1">
      <c r="A25" s="10" t="str">
        <f t="shared" si="0"/>
        <v> AOEB 11 </v>
      </c>
      <c r="B25" s="9" t="str">
        <f t="shared" si="1"/>
        <v>II</v>
      </c>
      <c r="C25" s="10">
        <f t="shared" si="2"/>
        <v>43165.661999999997</v>
      </c>
      <c r="D25" s="14" t="str">
        <f t="shared" si="3"/>
        <v>vis</v>
      </c>
      <c r="E25" s="43">
        <f>VLOOKUP(C25,'Active 1'!C$21:E$973,3,FALSE)</f>
        <v>4196.4833026933529</v>
      </c>
      <c r="F25" s="9" t="s">
        <v>64</v>
      </c>
      <c r="G25" s="14" t="str">
        <f t="shared" si="4"/>
        <v>43165.662</v>
      </c>
      <c r="H25" s="10">
        <f t="shared" si="5"/>
        <v>-3018.5</v>
      </c>
      <c r="I25" s="44" t="s">
        <v>84</v>
      </c>
      <c r="J25" s="45" t="s">
        <v>85</v>
      </c>
      <c r="K25" s="44">
        <v>-3018.5</v>
      </c>
      <c r="L25" s="44" t="s">
        <v>86</v>
      </c>
      <c r="M25" s="45" t="s">
        <v>69</v>
      </c>
      <c r="N25" s="45"/>
      <c r="O25" s="46" t="s">
        <v>78</v>
      </c>
      <c r="P25" s="46" t="s">
        <v>79</v>
      </c>
    </row>
    <row r="26" spans="1:16" ht="12.75" customHeight="1" thickBot="1">
      <c r="A26" s="10" t="str">
        <f t="shared" si="0"/>
        <v> AOEB 11 </v>
      </c>
      <c r="B26" s="9" t="str">
        <f t="shared" si="1"/>
        <v>II</v>
      </c>
      <c r="C26" s="10">
        <f t="shared" si="2"/>
        <v>43876.71</v>
      </c>
      <c r="D26" s="14" t="str">
        <f t="shared" si="3"/>
        <v>vis</v>
      </c>
      <c r="E26" s="43">
        <f>VLOOKUP(C26,'Active 1'!C$21:E$973,3,FALSE)</f>
        <v>4382.4807098918827</v>
      </c>
      <c r="F26" s="9" t="s">
        <v>64</v>
      </c>
      <c r="G26" s="14" t="str">
        <f t="shared" si="4"/>
        <v>43876.710</v>
      </c>
      <c r="H26" s="10">
        <f t="shared" si="5"/>
        <v>-2832.5</v>
      </c>
      <c r="I26" s="44" t="s">
        <v>87</v>
      </c>
      <c r="J26" s="45" t="s">
        <v>88</v>
      </c>
      <c r="K26" s="44">
        <v>-2832.5</v>
      </c>
      <c r="L26" s="44" t="s">
        <v>89</v>
      </c>
      <c r="M26" s="45" t="s">
        <v>69</v>
      </c>
      <c r="N26" s="45"/>
      <c r="O26" s="46" t="s">
        <v>83</v>
      </c>
      <c r="P26" s="46" t="s">
        <v>79</v>
      </c>
    </row>
    <row r="27" spans="1:16" ht="12.75" customHeight="1" thickBot="1">
      <c r="A27" s="10" t="str">
        <f t="shared" si="0"/>
        <v> AOEB 11 </v>
      </c>
      <c r="B27" s="9" t="str">
        <f t="shared" si="1"/>
        <v>I</v>
      </c>
      <c r="C27" s="10">
        <f t="shared" si="2"/>
        <v>44608.762999999999</v>
      </c>
      <c r="D27" s="14" t="str">
        <f t="shared" si="3"/>
        <v>vis</v>
      </c>
      <c r="E27" s="43">
        <f>VLOOKUP(C27,'Active 1'!C$21:E$973,3,FALSE)</f>
        <v>4573.9726484556713</v>
      </c>
      <c r="F27" s="9" t="s">
        <v>64</v>
      </c>
      <c r="G27" s="14" t="str">
        <f t="shared" si="4"/>
        <v>44608.763</v>
      </c>
      <c r="H27" s="10">
        <f t="shared" si="5"/>
        <v>-2641</v>
      </c>
      <c r="I27" s="44" t="s">
        <v>90</v>
      </c>
      <c r="J27" s="45" t="s">
        <v>91</v>
      </c>
      <c r="K27" s="44">
        <v>-2641</v>
      </c>
      <c r="L27" s="44" t="s">
        <v>92</v>
      </c>
      <c r="M27" s="45" t="s">
        <v>69</v>
      </c>
      <c r="N27" s="45"/>
      <c r="O27" s="46" t="s">
        <v>83</v>
      </c>
      <c r="P27" s="46" t="s">
        <v>79</v>
      </c>
    </row>
    <row r="28" spans="1:16" ht="12.75" customHeight="1" thickBot="1">
      <c r="A28" s="10" t="str">
        <f t="shared" si="0"/>
        <v> AOEB 11 </v>
      </c>
      <c r="B28" s="9" t="str">
        <f t="shared" si="1"/>
        <v>I</v>
      </c>
      <c r="C28" s="10">
        <f t="shared" si="2"/>
        <v>44654.624000000003</v>
      </c>
      <c r="D28" s="14" t="str">
        <f t="shared" si="3"/>
        <v>vis</v>
      </c>
      <c r="E28" s="43">
        <f>VLOOKUP(C28,'Active 1'!C$21:E$973,3,FALSE)</f>
        <v>4585.969063734995</v>
      </c>
      <c r="F28" s="9" t="s">
        <v>64</v>
      </c>
      <c r="G28" s="14" t="str">
        <f t="shared" si="4"/>
        <v>44654.624</v>
      </c>
      <c r="H28" s="10">
        <f t="shared" si="5"/>
        <v>-2629</v>
      </c>
      <c r="I28" s="44" t="s">
        <v>93</v>
      </c>
      <c r="J28" s="45" t="s">
        <v>94</v>
      </c>
      <c r="K28" s="44">
        <v>-2629</v>
      </c>
      <c r="L28" s="44" t="s">
        <v>74</v>
      </c>
      <c r="M28" s="45" t="s">
        <v>69</v>
      </c>
      <c r="N28" s="45"/>
      <c r="O28" s="46" t="s">
        <v>83</v>
      </c>
      <c r="P28" s="46" t="s">
        <v>79</v>
      </c>
    </row>
    <row r="29" spans="1:16" ht="12.75" customHeight="1" thickBot="1">
      <c r="A29" s="10" t="str">
        <f t="shared" si="0"/>
        <v> AOEB 11 </v>
      </c>
      <c r="B29" s="9" t="str">
        <f t="shared" si="1"/>
        <v>I</v>
      </c>
      <c r="C29" s="10">
        <f t="shared" si="2"/>
        <v>45021.623</v>
      </c>
      <c r="D29" s="14" t="str">
        <f t="shared" si="3"/>
        <v>vis</v>
      </c>
      <c r="E29" s="43">
        <f>VLOOKUP(C29,'Active 1'!C$21:E$973,3,FALSE)</f>
        <v>4681.9694215792651</v>
      </c>
      <c r="F29" s="9" t="s">
        <v>64</v>
      </c>
      <c r="G29" s="14" t="str">
        <f t="shared" si="4"/>
        <v>45021.623</v>
      </c>
      <c r="H29" s="10">
        <f t="shared" si="5"/>
        <v>-2533</v>
      </c>
      <c r="I29" s="44" t="s">
        <v>95</v>
      </c>
      <c r="J29" s="45" t="s">
        <v>96</v>
      </c>
      <c r="K29" s="44">
        <v>-2533</v>
      </c>
      <c r="L29" s="44" t="s">
        <v>97</v>
      </c>
      <c r="M29" s="45" t="s">
        <v>69</v>
      </c>
      <c r="N29" s="45"/>
      <c r="O29" s="46" t="s">
        <v>83</v>
      </c>
      <c r="P29" s="46" t="s">
        <v>79</v>
      </c>
    </row>
    <row r="30" spans="1:16" ht="12.75" customHeight="1" thickBot="1">
      <c r="A30" s="10" t="str">
        <f t="shared" si="0"/>
        <v> AOEB 11 </v>
      </c>
      <c r="B30" s="9" t="str">
        <f t="shared" si="1"/>
        <v>II</v>
      </c>
      <c r="C30" s="10">
        <f t="shared" si="2"/>
        <v>45298.817999999999</v>
      </c>
      <c r="D30" s="14" t="str">
        <f t="shared" si="3"/>
        <v>vis</v>
      </c>
      <c r="E30" s="43">
        <f>VLOOKUP(C30,'Active 1'!C$21:E$973,3,FALSE)</f>
        <v>4754.4786632737723</v>
      </c>
      <c r="F30" s="9" t="s">
        <v>64</v>
      </c>
      <c r="G30" s="14" t="str">
        <f t="shared" si="4"/>
        <v>45298.818</v>
      </c>
      <c r="H30" s="10">
        <f t="shared" si="5"/>
        <v>-2460.5</v>
      </c>
      <c r="I30" s="44" t="s">
        <v>98</v>
      </c>
      <c r="J30" s="45" t="s">
        <v>99</v>
      </c>
      <c r="K30" s="44">
        <v>-2460.5</v>
      </c>
      <c r="L30" s="44" t="s">
        <v>89</v>
      </c>
      <c r="M30" s="45" t="s">
        <v>69</v>
      </c>
      <c r="N30" s="45"/>
      <c r="O30" s="46" t="s">
        <v>83</v>
      </c>
      <c r="P30" s="46" t="s">
        <v>79</v>
      </c>
    </row>
    <row r="31" spans="1:16" ht="12.75" customHeight="1" thickBot="1">
      <c r="A31" s="10" t="str">
        <f t="shared" si="0"/>
        <v> AOEB 11 </v>
      </c>
      <c r="B31" s="9" t="str">
        <f t="shared" si="1"/>
        <v>I</v>
      </c>
      <c r="C31" s="10">
        <f t="shared" si="2"/>
        <v>45732.665000000001</v>
      </c>
      <c r="D31" s="14" t="str">
        <f t="shared" si="3"/>
        <v>vis</v>
      </c>
      <c r="E31" s="43">
        <f>VLOOKUP(C31,'Active 1'!C$21:E$973,3,FALSE)</f>
        <v>4867.965259285379</v>
      </c>
      <c r="F31" s="9" t="s">
        <v>64</v>
      </c>
      <c r="G31" s="14" t="str">
        <f t="shared" si="4"/>
        <v>45732.665</v>
      </c>
      <c r="H31" s="10">
        <f t="shared" si="5"/>
        <v>-2347</v>
      </c>
      <c r="I31" s="44" t="s">
        <v>100</v>
      </c>
      <c r="J31" s="45" t="s">
        <v>101</v>
      </c>
      <c r="K31" s="44">
        <v>-2347</v>
      </c>
      <c r="L31" s="44" t="s">
        <v>102</v>
      </c>
      <c r="M31" s="45" t="s">
        <v>69</v>
      </c>
      <c r="N31" s="45"/>
      <c r="O31" s="46" t="s">
        <v>83</v>
      </c>
      <c r="P31" s="46" t="s">
        <v>79</v>
      </c>
    </row>
    <row r="32" spans="1:16" ht="12.75" customHeight="1" thickBot="1">
      <c r="A32" s="10" t="str">
        <f t="shared" si="0"/>
        <v> AOEB 11 </v>
      </c>
      <c r="B32" s="9" t="str">
        <f t="shared" si="1"/>
        <v>II</v>
      </c>
      <c r="C32" s="10">
        <f t="shared" si="2"/>
        <v>45753.699000000001</v>
      </c>
      <c r="D32" s="14" t="str">
        <f t="shared" si="3"/>
        <v>vis</v>
      </c>
      <c r="E32" s="43">
        <f>VLOOKUP(C32,'Active 1'!C$21:E$973,3,FALSE)</f>
        <v>4873.467376530647</v>
      </c>
      <c r="F32" s="9" t="s">
        <v>64</v>
      </c>
      <c r="G32" s="14" t="str">
        <f t="shared" si="4"/>
        <v>45753.699</v>
      </c>
      <c r="H32" s="10">
        <f t="shared" si="5"/>
        <v>-2341.5</v>
      </c>
      <c r="I32" s="44" t="s">
        <v>103</v>
      </c>
      <c r="J32" s="45" t="s">
        <v>104</v>
      </c>
      <c r="K32" s="44">
        <v>-2341.5</v>
      </c>
      <c r="L32" s="44" t="s">
        <v>105</v>
      </c>
      <c r="M32" s="45" t="s">
        <v>69</v>
      </c>
      <c r="N32" s="45"/>
      <c r="O32" s="46" t="s">
        <v>83</v>
      </c>
      <c r="P32" s="46" t="s">
        <v>79</v>
      </c>
    </row>
    <row r="33" spans="1:16" ht="12.75" customHeight="1" thickBot="1">
      <c r="A33" s="10" t="str">
        <f t="shared" si="0"/>
        <v> AOEB 11 </v>
      </c>
      <c r="B33" s="9" t="str">
        <f t="shared" si="1"/>
        <v>II</v>
      </c>
      <c r="C33" s="10">
        <f t="shared" si="2"/>
        <v>46445.673000000003</v>
      </c>
      <c r="D33" s="14" t="str">
        <f t="shared" si="3"/>
        <v>vis</v>
      </c>
      <c r="E33" s="43">
        <f>VLOOKUP(C33,'Active 1'!C$21:E$973,3,FALSE)</f>
        <v>5054.4753673396999</v>
      </c>
      <c r="F33" s="9" t="s">
        <v>64</v>
      </c>
      <c r="G33" s="14" t="str">
        <f t="shared" si="4"/>
        <v>46445.673</v>
      </c>
      <c r="H33" s="10">
        <f t="shared" si="5"/>
        <v>-2160.5</v>
      </c>
      <c r="I33" s="44" t="s">
        <v>106</v>
      </c>
      <c r="J33" s="45" t="s">
        <v>107</v>
      </c>
      <c r="K33" s="44">
        <v>-2160.5</v>
      </c>
      <c r="L33" s="44" t="s">
        <v>108</v>
      </c>
      <c r="M33" s="45" t="s">
        <v>69</v>
      </c>
      <c r="N33" s="45"/>
      <c r="O33" s="46" t="s">
        <v>83</v>
      </c>
      <c r="P33" s="46" t="s">
        <v>79</v>
      </c>
    </row>
    <row r="34" spans="1:16" ht="12.75" customHeight="1" thickBot="1">
      <c r="A34" s="10" t="str">
        <f t="shared" si="0"/>
        <v> AOEB 11 </v>
      </c>
      <c r="B34" s="9" t="str">
        <f t="shared" si="1"/>
        <v>II</v>
      </c>
      <c r="C34" s="10">
        <f t="shared" si="2"/>
        <v>46835.599000000002</v>
      </c>
      <c r="D34" s="14" t="str">
        <f t="shared" si="3"/>
        <v>vis</v>
      </c>
      <c r="E34" s="43">
        <f>VLOOKUP(C34,'Active 1'!C$21:E$973,3,FALSE)</f>
        <v>5156.4730172863901</v>
      </c>
      <c r="F34" s="9" t="s">
        <v>64</v>
      </c>
      <c r="G34" s="14" t="str">
        <f t="shared" si="4"/>
        <v>46835.599</v>
      </c>
      <c r="H34" s="10">
        <f t="shared" si="5"/>
        <v>-2058.5</v>
      </c>
      <c r="I34" s="44" t="s">
        <v>109</v>
      </c>
      <c r="J34" s="45" t="s">
        <v>110</v>
      </c>
      <c r="K34" s="44">
        <v>-2058.5</v>
      </c>
      <c r="L34" s="44" t="s">
        <v>111</v>
      </c>
      <c r="M34" s="45" t="s">
        <v>69</v>
      </c>
      <c r="N34" s="45"/>
      <c r="O34" s="46" t="s">
        <v>83</v>
      </c>
      <c r="P34" s="46" t="s">
        <v>79</v>
      </c>
    </row>
    <row r="35" spans="1:16" ht="12.75" customHeight="1" thickBot="1">
      <c r="A35" s="10" t="str">
        <f t="shared" si="0"/>
        <v> AOEB 12 </v>
      </c>
      <c r="B35" s="9" t="str">
        <f t="shared" si="1"/>
        <v>II</v>
      </c>
      <c r="C35" s="10">
        <f t="shared" si="2"/>
        <v>52615.775199999996</v>
      </c>
      <c r="D35" s="14" t="str">
        <f t="shared" si="3"/>
        <v>vis</v>
      </c>
      <c r="E35" s="43">
        <f>VLOOKUP(C35,'Active 1'!C$21:E$973,3,FALSE)</f>
        <v>6668.4634684945313</v>
      </c>
      <c r="F35" s="9" t="s">
        <v>64</v>
      </c>
      <c r="G35" s="14" t="str">
        <f t="shared" si="4"/>
        <v>52615.7752</v>
      </c>
      <c r="H35" s="10">
        <f t="shared" si="5"/>
        <v>-546.5</v>
      </c>
      <c r="I35" s="44" t="s">
        <v>117</v>
      </c>
      <c r="J35" s="45" t="s">
        <v>118</v>
      </c>
      <c r="K35" s="44">
        <v>-546.5</v>
      </c>
      <c r="L35" s="44" t="s">
        <v>119</v>
      </c>
      <c r="M35" s="45" t="s">
        <v>120</v>
      </c>
      <c r="N35" s="45" t="s">
        <v>121</v>
      </c>
      <c r="O35" s="46" t="s">
        <v>83</v>
      </c>
      <c r="P35" s="46" t="s">
        <v>122</v>
      </c>
    </row>
    <row r="36" spans="1:16" ht="12.75" customHeight="1" thickBot="1">
      <c r="A36" s="10" t="str">
        <f t="shared" si="0"/>
        <v> AOEB 11 </v>
      </c>
      <c r="B36" s="9" t="str">
        <f t="shared" si="1"/>
        <v>I</v>
      </c>
      <c r="C36" s="10">
        <f t="shared" si="2"/>
        <v>53049.622199999998</v>
      </c>
      <c r="D36" s="14" t="str">
        <f t="shared" si="3"/>
        <v>vis</v>
      </c>
      <c r="E36" s="43">
        <f>VLOOKUP(C36,'Active 1'!C$21:E$973,3,FALSE)</f>
        <v>6781.950064506138</v>
      </c>
      <c r="F36" s="9" t="s">
        <v>64</v>
      </c>
      <c r="G36" s="14" t="str">
        <f t="shared" si="4"/>
        <v>53049.6222</v>
      </c>
      <c r="H36" s="10">
        <f t="shared" si="5"/>
        <v>-433</v>
      </c>
      <c r="I36" s="44" t="s">
        <v>130</v>
      </c>
      <c r="J36" s="45" t="s">
        <v>131</v>
      </c>
      <c r="K36" s="44">
        <v>-433</v>
      </c>
      <c r="L36" s="44" t="s">
        <v>132</v>
      </c>
      <c r="M36" s="45" t="s">
        <v>120</v>
      </c>
      <c r="N36" s="45" t="s">
        <v>121</v>
      </c>
      <c r="O36" s="46" t="s">
        <v>83</v>
      </c>
      <c r="P36" s="46" t="s">
        <v>79</v>
      </c>
    </row>
    <row r="37" spans="1:16" ht="12.75" customHeight="1" thickBot="1">
      <c r="A37" s="10" t="str">
        <f t="shared" si="0"/>
        <v> AOEB 11 </v>
      </c>
      <c r="B37" s="9" t="str">
        <f t="shared" si="1"/>
        <v>I</v>
      </c>
      <c r="C37" s="10">
        <f t="shared" si="2"/>
        <v>53393.679100000001</v>
      </c>
      <c r="D37" s="14" t="str">
        <f t="shared" si="3"/>
        <v>vis</v>
      </c>
      <c r="E37" s="43">
        <f>VLOOKUP(C37,'Active 1'!C$21:E$973,3,FALSE)</f>
        <v>6871.9491803587443</v>
      </c>
      <c r="F37" s="9" t="s">
        <v>64</v>
      </c>
      <c r="G37" s="14" t="str">
        <f t="shared" si="4"/>
        <v>53393.6791</v>
      </c>
      <c r="H37" s="10">
        <f t="shared" si="5"/>
        <v>-343</v>
      </c>
      <c r="I37" s="44" t="s">
        <v>133</v>
      </c>
      <c r="J37" s="45" t="s">
        <v>134</v>
      </c>
      <c r="K37" s="44">
        <v>-343</v>
      </c>
      <c r="L37" s="44" t="s">
        <v>135</v>
      </c>
      <c r="M37" s="45" t="s">
        <v>120</v>
      </c>
      <c r="N37" s="45" t="s">
        <v>121</v>
      </c>
      <c r="O37" s="46" t="s">
        <v>83</v>
      </c>
      <c r="P37" s="46" t="s">
        <v>79</v>
      </c>
    </row>
    <row r="38" spans="1:16" ht="12.75" customHeight="1" thickBot="1">
      <c r="A38" s="10" t="str">
        <f t="shared" si="0"/>
        <v> AOEB 12 </v>
      </c>
      <c r="B38" s="9" t="str">
        <f t="shared" si="1"/>
        <v>II</v>
      </c>
      <c r="C38" s="10">
        <f t="shared" si="2"/>
        <v>54079.931400000001</v>
      </c>
      <c r="D38" s="14" t="str">
        <f t="shared" si="3"/>
        <v>vis</v>
      </c>
      <c r="E38" s="43">
        <f>VLOOKUP(C38,'Active 1'!C$21:E$973,3,FALSE)</f>
        <v>7051.4604770419883</v>
      </c>
      <c r="F38" s="9" t="s">
        <v>64</v>
      </c>
      <c r="G38" s="14" t="str">
        <f t="shared" si="4"/>
        <v>54079.9314</v>
      </c>
      <c r="H38" s="10">
        <f t="shared" si="5"/>
        <v>-163.5</v>
      </c>
      <c r="I38" s="44" t="s">
        <v>136</v>
      </c>
      <c r="J38" s="45" t="s">
        <v>137</v>
      </c>
      <c r="K38" s="44">
        <v>-163.5</v>
      </c>
      <c r="L38" s="44" t="s">
        <v>138</v>
      </c>
      <c r="M38" s="45" t="s">
        <v>120</v>
      </c>
      <c r="N38" s="45" t="s">
        <v>121</v>
      </c>
      <c r="O38" s="46" t="s">
        <v>83</v>
      </c>
      <c r="P38" s="46" t="s">
        <v>122</v>
      </c>
    </row>
    <row r="39" spans="1:16" ht="12.75" customHeight="1" thickBot="1">
      <c r="A39" s="10" t="str">
        <f t="shared" si="0"/>
        <v> AOEB 12 </v>
      </c>
      <c r="B39" s="9" t="str">
        <f t="shared" si="1"/>
        <v>I</v>
      </c>
      <c r="C39" s="10">
        <f t="shared" si="2"/>
        <v>54081.795899999997</v>
      </c>
      <c r="D39" s="14" t="str">
        <f t="shared" si="3"/>
        <v>vis</v>
      </c>
      <c r="E39" s="43">
        <f>VLOOKUP(C39,'Active 1'!C$21:E$973,3,FALSE)</f>
        <v>7051.9481968101627</v>
      </c>
      <c r="F39" s="9" t="s">
        <v>64</v>
      </c>
      <c r="G39" s="14" t="str">
        <f t="shared" si="4"/>
        <v>54081.7959</v>
      </c>
      <c r="H39" s="10">
        <f t="shared" si="5"/>
        <v>-163</v>
      </c>
      <c r="I39" s="44" t="s">
        <v>139</v>
      </c>
      <c r="J39" s="45" t="s">
        <v>140</v>
      </c>
      <c r="K39" s="44">
        <v>-163</v>
      </c>
      <c r="L39" s="44" t="s">
        <v>141</v>
      </c>
      <c r="M39" s="45" t="s">
        <v>120</v>
      </c>
      <c r="N39" s="45" t="s">
        <v>121</v>
      </c>
      <c r="O39" s="46" t="s">
        <v>142</v>
      </c>
      <c r="P39" s="46" t="s">
        <v>122</v>
      </c>
    </row>
    <row r="40" spans="1:16" ht="12.75" customHeight="1" thickBot="1">
      <c r="A40" s="10" t="str">
        <f t="shared" si="0"/>
        <v> AOEB 12 </v>
      </c>
      <c r="B40" s="9" t="str">
        <f t="shared" si="1"/>
        <v>II</v>
      </c>
      <c r="C40" s="10">
        <f t="shared" si="2"/>
        <v>54102.872499999998</v>
      </c>
      <c r="D40" s="14" t="str">
        <f t="shared" si="3"/>
        <v>vis</v>
      </c>
      <c r="E40" s="43">
        <f>VLOOKUP(C40,'Active 1'!C$21:E$973,3,FALSE)</f>
        <v>7057.4614574515826</v>
      </c>
      <c r="F40" s="9" t="s">
        <v>64</v>
      </c>
      <c r="G40" s="14" t="str">
        <f t="shared" si="4"/>
        <v>54102.8725</v>
      </c>
      <c r="H40" s="10">
        <f t="shared" si="5"/>
        <v>-157.5</v>
      </c>
      <c r="I40" s="44" t="s">
        <v>143</v>
      </c>
      <c r="J40" s="45" t="s">
        <v>144</v>
      </c>
      <c r="K40" s="44">
        <v>-157.5</v>
      </c>
      <c r="L40" s="44" t="s">
        <v>145</v>
      </c>
      <c r="M40" s="45" t="s">
        <v>120</v>
      </c>
      <c r="N40" s="45" t="s">
        <v>121</v>
      </c>
      <c r="O40" s="46" t="s">
        <v>142</v>
      </c>
      <c r="P40" s="46" t="s">
        <v>122</v>
      </c>
    </row>
    <row r="41" spans="1:16" ht="12.75" customHeight="1" thickBot="1">
      <c r="A41" s="10" t="str">
        <f t="shared" si="0"/>
        <v>VSB 50 </v>
      </c>
      <c r="B41" s="9" t="str">
        <f t="shared" si="1"/>
        <v>I</v>
      </c>
      <c r="C41" s="10">
        <f t="shared" si="2"/>
        <v>54876.952700000002</v>
      </c>
      <c r="D41" s="14" t="str">
        <f t="shared" si="3"/>
        <v>vis</v>
      </c>
      <c r="E41" s="43">
        <f>VLOOKUP(C41,'Active 1'!C$21:E$973,3,FALSE)</f>
        <v>7259.9469579574834</v>
      </c>
      <c r="F41" s="9" t="s">
        <v>64</v>
      </c>
      <c r="G41" s="14" t="str">
        <f t="shared" si="4"/>
        <v>54876.9527</v>
      </c>
      <c r="H41" s="10">
        <f t="shared" si="5"/>
        <v>45</v>
      </c>
      <c r="I41" s="44" t="s">
        <v>165</v>
      </c>
      <c r="J41" s="45" t="s">
        <v>166</v>
      </c>
      <c r="K41" s="44">
        <v>45</v>
      </c>
      <c r="L41" s="44" t="s">
        <v>141</v>
      </c>
      <c r="M41" s="45" t="s">
        <v>120</v>
      </c>
      <c r="N41" s="45" t="s">
        <v>64</v>
      </c>
      <c r="O41" s="46" t="s">
        <v>167</v>
      </c>
      <c r="P41" s="47" t="s">
        <v>168</v>
      </c>
    </row>
    <row r="42" spans="1:16" ht="12.75" customHeight="1" thickBot="1">
      <c r="A42" s="10" t="str">
        <f t="shared" si="0"/>
        <v>VSB 53 </v>
      </c>
      <c r="B42" s="9" t="str">
        <f t="shared" si="1"/>
        <v>I</v>
      </c>
      <c r="C42" s="10">
        <f t="shared" si="2"/>
        <v>55618.612000000001</v>
      </c>
      <c r="D42" s="14" t="str">
        <f t="shared" si="3"/>
        <v>vis</v>
      </c>
      <c r="E42" s="43">
        <f>VLOOKUP(C42,'Active 1'!C$21:E$973,3,FALSE)</f>
        <v>7453.9517323534119</v>
      </c>
      <c r="F42" s="9" t="s">
        <v>64</v>
      </c>
      <c r="G42" s="14" t="str">
        <f t="shared" si="4"/>
        <v>55618.612</v>
      </c>
      <c r="H42" s="10">
        <f t="shared" si="5"/>
        <v>239</v>
      </c>
      <c r="I42" s="44" t="s">
        <v>175</v>
      </c>
      <c r="J42" s="45" t="s">
        <v>176</v>
      </c>
      <c r="K42" s="44">
        <v>239</v>
      </c>
      <c r="L42" s="44" t="s">
        <v>177</v>
      </c>
      <c r="M42" s="45" t="s">
        <v>69</v>
      </c>
      <c r="N42" s="45"/>
      <c r="O42" s="46" t="s">
        <v>178</v>
      </c>
      <c r="P42" s="47" t="s">
        <v>179</v>
      </c>
    </row>
    <row r="43" spans="1:16">
      <c r="B43" s="9"/>
      <c r="F43" s="9"/>
    </row>
    <row r="44" spans="1:16">
      <c r="B44" s="9"/>
      <c r="F44" s="9"/>
    </row>
    <row r="45" spans="1:16">
      <c r="B45" s="9"/>
      <c r="F45" s="9"/>
    </row>
    <row r="46" spans="1:16">
      <c r="B46" s="9"/>
      <c r="F46" s="9"/>
    </row>
    <row r="47" spans="1:16">
      <c r="B47" s="9"/>
      <c r="F47" s="9"/>
    </row>
    <row r="48" spans="1:16">
      <c r="B48" s="9"/>
      <c r="F48" s="9"/>
    </row>
    <row r="49" spans="2:6">
      <c r="B49" s="9"/>
      <c r="F49" s="9"/>
    </row>
    <row r="50" spans="2:6">
      <c r="B50" s="9"/>
      <c r="F50" s="9"/>
    </row>
    <row r="51" spans="2:6">
      <c r="B51" s="9"/>
      <c r="F51" s="9"/>
    </row>
    <row r="52" spans="2:6">
      <c r="B52" s="9"/>
      <c r="F52" s="9"/>
    </row>
    <row r="53" spans="2:6">
      <c r="B53" s="9"/>
      <c r="F53" s="9"/>
    </row>
    <row r="54" spans="2:6">
      <c r="B54" s="9"/>
      <c r="F54" s="9"/>
    </row>
    <row r="55" spans="2:6">
      <c r="B55" s="9"/>
      <c r="F55" s="9"/>
    </row>
    <row r="56" spans="2:6">
      <c r="B56" s="9"/>
      <c r="F56" s="9"/>
    </row>
    <row r="57" spans="2:6">
      <c r="B57" s="9"/>
      <c r="F57" s="9"/>
    </row>
    <row r="58" spans="2:6">
      <c r="B58" s="9"/>
      <c r="F58" s="9"/>
    </row>
    <row r="59" spans="2:6">
      <c r="B59" s="9"/>
      <c r="F59" s="9"/>
    </row>
    <row r="60" spans="2:6">
      <c r="B60" s="9"/>
      <c r="F60" s="9"/>
    </row>
    <row r="61" spans="2:6">
      <c r="B61" s="9"/>
      <c r="F61" s="9"/>
    </row>
    <row r="62" spans="2:6">
      <c r="B62" s="9"/>
      <c r="F62" s="9"/>
    </row>
    <row r="63" spans="2:6">
      <c r="B63" s="9"/>
      <c r="F63" s="9"/>
    </row>
    <row r="64" spans="2:6">
      <c r="B64" s="9"/>
      <c r="F64" s="9"/>
    </row>
    <row r="65" spans="2:6">
      <c r="B65" s="9"/>
      <c r="F65" s="9"/>
    </row>
    <row r="66" spans="2:6">
      <c r="B66" s="9"/>
      <c r="F66" s="9"/>
    </row>
    <row r="67" spans="2:6">
      <c r="B67" s="9"/>
      <c r="F67" s="9"/>
    </row>
    <row r="68" spans="2:6">
      <c r="B68" s="9"/>
      <c r="F68" s="9"/>
    </row>
    <row r="69" spans="2:6">
      <c r="B69" s="9"/>
      <c r="F69" s="9"/>
    </row>
    <row r="70" spans="2:6">
      <c r="B70" s="9"/>
      <c r="F70" s="9"/>
    </row>
    <row r="71" spans="2:6">
      <c r="B71" s="9"/>
      <c r="F71" s="9"/>
    </row>
    <row r="72" spans="2:6">
      <c r="B72" s="9"/>
      <c r="F72" s="9"/>
    </row>
    <row r="73" spans="2:6">
      <c r="B73" s="9"/>
      <c r="F73" s="9"/>
    </row>
    <row r="74" spans="2:6">
      <c r="B74" s="9"/>
      <c r="F74" s="9"/>
    </row>
    <row r="75" spans="2:6">
      <c r="B75" s="9"/>
      <c r="F75" s="9"/>
    </row>
    <row r="76" spans="2:6">
      <c r="B76" s="9"/>
      <c r="F76" s="9"/>
    </row>
    <row r="77" spans="2:6">
      <c r="B77" s="9"/>
      <c r="F77" s="9"/>
    </row>
    <row r="78" spans="2:6">
      <c r="B78" s="9"/>
      <c r="F78" s="9"/>
    </row>
    <row r="79" spans="2:6">
      <c r="B79" s="9"/>
      <c r="F79" s="9"/>
    </row>
    <row r="80" spans="2:6">
      <c r="B80" s="9"/>
      <c r="F80" s="9"/>
    </row>
    <row r="81" spans="2:6">
      <c r="B81" s="9"/>
      <c r="F81" s="9"/>
    </row>
    <row r="82" spans="2:6">
      <c r="B82" s="9"/>
      <c r="F82" s="9"/>
    </row>
    <row r="83" spans="2:6">
      <c r="B83" s="9"/>
      <c r="F83" s="9"/>
    </row>
    <row r="84" spans="2:6">
      <c r="B84" s="9"/>
      <c r="F84" s="9"/>
    </row>
    <row r="85" spans="2:6">
      <c r="B85" s="9"/>
      <c r="F85" s="9"/>
    </row>
    <row r="86" spans="2:6">
      <c r="B86" s="9"/>
      <c r="F86" s="9"/>
    </row>
    <row r="87" spans="2:6">
      <c r="B87" s="9"/>
      <c r="F87" s="9"/>
    </row>
    <row r="88" spans="2:6">
      <c r="B88" s="9"/>
      <c r="F88" s="9"/>
    </row>
    <row r="89" spans="2:6">
      <c r="B89" s="9"/>
      <c r="F89" s="9"/>
    </row>
    <row r="90" spans="2:6">
      <c r="B90" s="9"/>
      <c r="F90" s="9"/>
    </row>
    <row r="91" spans="2:6">
      <c r="B91" s="9"/>
      <c r="F91" s="9"/>
    </row>
    <row r="92" spans="2:6">
      <c r="B92" s="9"/>
      <c r="F92" s="9"/>
    </row>
    <row r="93" spans="2:6">
      <c r="B93" s="9"/>
      <c r="F93" s="9"/>
    </row>
    <row r="94" spans="2:6">
      <c r="B94" s="9"/>
      <c r="F94" s="9"/>
    </row>
    <row r="95" spans="2:6">
      <c r="B95" s="9"/>
      <c r="F95" s="9"/>
    </row>
    <row r="96" spans="2:6">
      <c r="B96" s="9"/>
      <c r="F96" s="9"/>
    </row>
    <row r="97" spans="2:6">
      <c r="B97" s="9"/>
      <c r="F97" s="9"/>
    </row>
    <row r="98" spans="2:6">
      <c r="B98" s="9"/>
      <c r="F98" s="9"/>
    </row>
    <row r="99" spans="2:6">
      <c r="B99" s="9"/>
      <c r="F99" s="9"/>
    </row>
    <row r="100" spans="2:6">
      <c r="B100" s="9"/>
      <c r="F100" s="9"/>
    </row>
    <row r="101" spans="2:6">
      <c r="B101" s="9"/>
      <c r="F101" s="9"/>
    </row>
    <row r="102" spans="2:6">
      <c r="B102" s="9"/>
      <c r="F102" s="9"/>
    </row>
    <row r="103" spans="2:6">
      <c r="B103" s="9"/>
      <c r="F103" s="9"/>
    </row>
    <row r="104" spans="2:6">
      <c r="B104" s="9"/>
      <c r="F104" s="9"/>
    </row>
    <row r="105" spans="2:6">
      <c r="B105" s="9"/>
      <c r="F105" s="9"/>
    </row>
    <row r="106" spans="2:6">
      <c r="B106" s="9"/>
      <c r="F106" s="9"/>
    </row>
    <row r="107" spans="2:6">
      <c r="B107" s="9"/>
      <c r="F107" s="9"/>
    </row>
    <row r="108" spans="2:6">
      <c r="B108" s="9"/>
      <c r="F108" s="9"/>
    </row>
    <row r="109" spans="2:6">
      <c r="B109" s="9"/>
      <c r="F109" s="9"/>
    </row>
    <row r="110" spans="2:6">
      <c r="B110" s="9"/>
      <c r="F110" s="9"/>
    </row>
    <row r="111" spans="2:6">
      <c r="B111" s="9"/>
      <c r="F111" s="9"/>
    </row>
    <row r="112" spans="2: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</sheetData>
  <phoneticPr fontId="8" type="noConversion"/>
  <hyperlinks>
    <hyperlink ref="P13" r:id="rId1" display="http://www.konkoly.hu/cgi-bin/IBVS?5502" xr:uid="{00000000-0004-0000-0100-000000000000}"/>
    <hyperlink ref="P14" r:id="rId2" display="http://www.aavso.org/sites/default/files/jaavso/v36n2/171.pdf" xr:uid="{00000000-0004-0000-0100-000001000000}"/>
    <hyperlink ref="P15" r:id="rId3" display="http://www.aavso.org/sites/default/files/jaavso/v36n2/171.pdf" xr:uid="{00000000-0004-0000-0100-000002000000}"/>
    <hyperlink ref="P16" r:id="rId4" display="http://www.aavso.org/sites/default/files/jaavso/v36n2/186.pdf" xr:uid="{00000000-0004-0000-0100-000003000000}"/>
    <hyperlink ref="P41" r:id="rId5" display="http://vsolj.cetus-net.org/vsoljno50.pdf" xr:uid="{00000000-0004-0000-0100-000004000000}"/>
    <hyperlink ref="P42" r:id="rId6" display="http://vsolj.cetus-net.org/vsoljno53.pdf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2024-01-26T04:56:42Z</dcterms:modified>
</cp:coreProperties>
</file>