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EECEB5D-7FFA-4405-9497-227BEF44A8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9" i="1" l="1"/>
  <c r="A29" i="1"/>
  <c r="E21" i="1"/>
  <c r="F21" i="1" s="1"/>
  <c r="G21" i="1" s="1"/>
  <c r="H21" i="1" s="1"/>
  <c r="E22" i="1"/>
  <c r="F22" i="1" s="1"/>
  <c r="G22" i="1" s="1"/>
  <c r="H22" i="1" s="1"/>
  <c r="E23" i="1"/>
  <c r="E13" i="2" s="1"/>
  <c r="E24" i="1"/>
  <c r="F24" i="1" s="1"/>
  <c r="G24" i="1" s="1"/>
  <c r="H24" i="1" s="1"/>
  <c r="E25" i="1"/>
  <c r="E15" i="2" s="1"/>
  <c r="F25" i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E18" i="2" s="1"/>
  <c r="F28" i="1"/>
  <c r="G28" i="1" s="1"/>
  <c r="H28" i="1" s="1"/>
  <c r="E30" i="1"/>
  <c r="F30" i="1" s="1"/>
  <c r="G30" i="1" s="1"/>
  <c r="I30" i="1" s="1"/>
  <c r="Q21" i="1"/>
  <c r="Q22" i="1"/>
  <c r="Q23" i="1"/>
  <c r="Q24" i="1"/>
  <c r="Q25" i="1"/>
  <c r="Q26" i="1"/>
  <c r="Q27" i="1"/>
  <c r="Q28" i="1"/>
  <c r="G18" i="2"/>
  <c r="C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G12" i="2"/>
  <c r="C12" i="2"/>
  <c r="G11" i="2"/>
  <c r="C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Q30" i="1"/>
  <c r="E12" i="2" l="1"/>
  <c r="F23" i="1"/>
  <c r="G23" i="1" s="1"/>
  <c r="F17" i="1"/>
  <c r="H23" i="1" l="1"/>
  <c r="F29" i="1"/>
  <c r="E29" i="1"/>
  <c r="C17" i="1"/>
  <c r="E11" i="2"/>
  <c r="Q29" i="1"/>
  <c r="G29" i="1"/>
  <c r="C11" i="1"/>
  <c r="C12" i="1"/>
  <c r="O26" i="1" l="1"/>
  <c r="O23" i="1"/>
  <c r="O27" i="1"/>
  <c r="O28" i="1"/>
  <c r="O22" i="1"/>
  <c r="O24" i="1"/>
  <c r="O30" i="1"/>
  <c r="O25" i="1"/>
  <c r="O21" i="1"/>
  <c r="O29" i="1"/>
  <c r="C15" i="1"/>
  <c r="H29" i="1"/>
  <c r="C16" i="1"/>
  <c r="D18" i="1"/>
  <c r="F18" i="1" l="1"/>
  <c r="F19" i="1" s="1"/>
  <c r="C18" i="1"/>
</calcChain>
</file>

<file path=xl/sharedStrings.xml><?xml version="1.0" encoding="utf-8"?>
<sst xmlns="http://schemas.openxmlformats.org/spreadsheetml/2006/main" count="142" uniqueCount="81">
  <si>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</si>
  <si>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</si>
  <si>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</si>
  <si>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</si>
  <si>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</si>
  <si>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</si>
  <si>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</si>
  <si>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</si>
  <si>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</si>
  <si>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</si>
  <si>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</si>
  <si>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</si>
  <si>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</si>
  <si>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</si>
  <si>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</si>
  <si>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</si>
  <si>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</si>
  <si>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</si>
  <si>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</si>
  <si>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</si>
  <si>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</si>
  <si>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</si>
  <si>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</si>
  <si>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</si>
  <si>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</si>
  <si>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</si>
  <si>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</si>
  <si>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</si>
  <si>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</si>
  <si>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</si>
  <si>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</si>
  <si>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</si>
  <si>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</si>
  <si>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</si>
  <si>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</si>
  <si>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</si>
  <si>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</si>
  <si>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</si>
  <si>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</si>
  <si>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</si>
  <si>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</si>
  <si>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</si>
  <si>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</si>
  <si>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</si>
  <si>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</si>
  <si>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</si>
  <si>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</si>
  <si>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</si>
  <si>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ZZ CMa</t>
  </si>
  <si>
    <t>EA</t>
  </si>
  <si>
    <t>ZZ CMa / GSC 28058.271</t>
  </si>
  <si>
    <t>2427547.211 </t>
  </si>
  <si>
    <t> 19.04.1934 17:03 </t>
  </si>
  <si>
    <t> -0.150 </t>
  </si>
  <si>
    <t>P </t>
  </si>
  <si>
    <t> A.van Hoof </t>
  </si>
  <si>
    <t> CIEL 58.46 </t>
  </si>
  <si>
    <t>2427690.594 </t>
  </si>
  <si>
    <t> 10.09.1934 02:15 </t>
  </si>
  <si>
    <t> -0.075 </t>
  </si>
  <si>
    <t>2427866.272 </t>
  </si>
  <si>
    <t> 04.03.1935 18:31 </t>
  </si>
  <si>
    <t> -0.151 </t>
  </si>
  <si>
    <t>2428158.275 </t>
  </si>
  <si>
    <t> 21.12.1935 18:36 </t>
  </si>
  <si>
    <t> -0.171 </t>
  </si>
  <si>
    <t>2428269.214 </t>
  </si>
  <si>
    <t> 10.04.1936 17:08 </t>
  </si>
  <si>
    <t> -0.093 </t>
  </si>
  <si>
    <t>2428277.311 </t>
  </si>
  <si>
    <t> 18.04.1936 19:27 </t>
  </si>
  <si>
    <t> -0.107 </t>
  </si>
  <si>
    <t>2428458.443 </t>
  </si>
  <si>
    <t> 16.10.1936 22:37 </t>
  </si>
  <si>
    <t> -0.138 </t>
  </si>
  <si>
    <t>2428523.296 </t>
  </si>
  <si>
    <t> 20.12.1936 19:06 </t>
  </si>
  <si>
    <t> -0.179 </t>
  </si>
  <si>
    <t>I</t>
  </si>
  <si>
    <t>GCVS 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</si>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</sst>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CMa - O-C Diagr.</a:t>
            </a:r>
          </a:p>
        </c:rich>
      </c:tx>
      <c:layout>
        <c:manualLayout>
          <c:xMode val="edge"/>
          <c:yMode val="edge"/>
          <c:x val="0.3864661654135338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678942920199375"/>
          <c:w val="0.8285714285714286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Active!$D$22:$D$240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Active!$D$22:$D$240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Active!$H$22:$H$1000</c:f>
              <c:numCache>
                <c:formatCode>General</c:formatCode>
                <c:ptCount val="979"/>
                <c:pt idx="0">
                  <c:v>2.5340000003780005E-2</c:v>
                </c:pt>
                <c:pt idx="1">
                  <c:v>-5.1199999998061685E-2</c:v>
                </c:pt>
                <c:pt idx="2">
                  <c:v>-7.1127999995951541E-2</c:v>
                </c:pt>
                <c:pt idx="3">
                  <c:v>7.3160000029020011E-3</c:v>
                </c:pt>
                <c:pt idx="4">
                  <c:v>-7.4319999985164031E-3</c:v>
                </c:pt>
                <c:pt idx="5">
                  <c:v>-3.7803999999596272E-2</c:v>
                </c:pt>
                <c:pt idx="6">
                  <c:v>-7.878799999889452E-2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44-4D3A-A1C1-755092689D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Active!$I$22:$I$1000</c:f>
              <c:numCache>
                <c:formatCode>General</c:formatCode>
                <c:ptCount val="979"/>
                <c:pt idx="8">
                  <c:v>9.9999999998544808E-2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44-4D3A-A1C1-755092689D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Active!$J$22:$J$1000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44-4D3A-A1C1-755092689D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Active!$K$22:$K$1000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44-4D3A-A1C1-755092689D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Active!$L$22:$L$1000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44-4D3A-A1C1-755092689D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Active!$M$22:$M$1000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44-4D3A-A1C1-755092689D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Active!$D$22:$D$1000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Active!$N$22:$N$1000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44-4D3A-A1C1-755092689D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Active!$O$22:$O$1000</c:f>
              <c:numCache>
                <c:formatCode>General</c:formatCode>
                <c:ptCount val="979"/>
                <c:pt idx="0">
                  <c:v>-3.4199442867625593E-2</c:v>
                </c:pt>
                <c:pt idx="1">
                  <c:v>-3.3618536163601734E-2</c:v>
                </c:pt>
                <c:pt idx="2">
                  <c:v>-3.265333733230058E-2</c:v>
                </c:pt>
                <c:pt idx="3">
                  <c:v>-3.2286919257454763E-2</c:v>
                </c:pt>
                <c:pt idx="4">
                  <c:v>-3.2260108178807506E-2</c:v>
                </c:pt>
                <c:pt idx="5">
                  <c:v>-3.1661327422352156E-2</c:v>
                </c:pt>
                <c:pt idx="6">
                  <c:v>-3.1446838793174128E-2</c:v>
                </c:pt>
                <c:pt idx="7">
                  <c:v>4.9495807642887316E-2</c:v>
                </c:pt>
                <c:pt idx="8">
                  <c:v>4.9495807642887316E-2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44-4D3A-A1C1-755092689DE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Active!$F$22:$F$1000</c:f>
              <c:numCache>
                <c:formatCode>General</c:formatCode>
                <c:ptCount val="979"/>
                <c:pt idx="0">
                  <c:v>-9365</c:v>
                </c:pt>
                <c:pt idx="1">
                  <c:v>-9300</c:v>
                </c:pt>
                <c:pt idx="2">
                  <c:v>-9192</c:v>
                </c:pt>
                <c:pt idx="3">
                  <c:v>-9151</c:v>
                </c:pt>
                <c:pt idx="4">
                  <c:v>-9148</c:v>
                </c:pt>
                <c:pt idx="5">
                  <c:v>-9081</c:v>
                </c:pt>
                <c:pt idx="6">
                  <c:v>-9057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Active!$R$22:$R$1000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44-4D3A-A1C1-75509268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481600"/>
        <c:axId val="1"/>
      </c:scatterChart>
      <c:valAx>
        <c:axId val="529481600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481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04921861831491"/>
          <c:w val="0.71428571428571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C7AA70-55ED-63AE-A967-C3C39FAA3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1"/>
  <sheetViews>
    <sheetView tabSelected="1" workbookViewId="0">
      <pane xSplit="14" ySplit="22" topLeftCell="O23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51" t="s">
        <v>48</v>
      </c>
      <c r="G1" s="33">
        <v>7.0147000000000004</v>
      </c>
      <c r="H1" s="34">
        <v>-19.355399999999999</v>
      </c>
      <c r="I1" s="35">
        <v>28058.271000000001</v>
      </c>
      <c r="J1" s="35">
        <v>2.7038489999999999</v>
      </c>
      <c r="K1" s="32" t="s">
        <v>49</v>
      </c>
      <c r="L1" s="31">
        <v>12.7</v>
      </c>
      <c r="M1" s="31">
        <v>99</v>
      </c>
      <c r="N1" s="35">
        <v>2.7038489999999999</v>
      </c>
      <c r="O1" s="38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53012.841999999997</v>
      </c>
      <c r="D4" s="28">
        <v>2.703916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5">
        <v>53012.741999999998</v>
      </c>
      <c r="D7" s="29" t="s">
        <v>80</v>
      </c>
    </row>
    <row r="8" spans="1:15" x14ac:dyDescent="0.2">
      <c r="A8" t="s">
        <v>3</v>
      </c>
      <c r="C8" s="55">
        <v>2.703916</v>
      </c>
      <c r="D8" s="29" t="s">
        <v>80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INTERCEPT(INDIRECT($E$9):G993,INDIRECT($D$9):F993)</f>
        <v>4.9495807642887316E-2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SLOPE(INDIRECT($E$9):G993,INDIRECT($D$9):F993)</f>
        <v>8.9370262157515114E-6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(C7+C11)+(C8+C12)*INT(MAX(F22:F3534))</f>
        <v>53012.791495807644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2.7039249370262159</v>
      </c>
      <c r="E16" s="14" t="s">
        <v>30</v>
      </c>
      <c r="F16" s="37">
        <f ca="1">NOW()+15018.5+$C$5/24</f>
        <v>60335.770015046292</v>
      </c>
    </row>
    <row r="17" spans="1:18" ht="13.5" thickBot="1" x14ac:dyDescent="0.25">
      <c r="A17" s="14" t="s">
        <v>27</v>
      </c>
      <c r="B17" s="10"/>
      <c r="C17" s="10">
        <f>COUNT(C22:C2192)</f>
        <v>9</v>
      </c>
      <c r="E17" s="14" t="s">
        <v>35</v>
      </c>
      <c r="F17" s="15">
        <f ca="1">ROUND(2*(F16-$C$7)/$C$8,0)/2+F15</f>
        <v>2709.5</v>
      </c>
    </row>
    <row r="18" spans="1:18" ht="14.25" thickTop="1" thickBot="1" x14ac:dyDescent="0.25">
      <c r="A18" s="16" t="s">
        <v>5</v>
      </c>
      <c r="B18" s="10"/>
      <c r="C18" s="19">
        <f ca="1">+C15</f>
        <v>53012.791495807644</v>
      </c>
      <c r="D18" s="20">
        <f ca="1">+C16</f>
        <v>2.7039249370262159</v>
      </c>
      <c r="E18" s="14" t="s">
        <v>36</v>
      </c>
      <c r="F18" s="23">
        <f ca="1">ROUND(2*(F16-$C$15)/$C$16,0)/2+F15</f>
        <v>2709.5</v>
      </c>
    </row>
    <row r="19" spans="1:18" ht="13.5" thickTop="1" x14ac:dyDescent="0.2">
      <c r="E19" s="14" t="s">
        <v>31</v>
      </c>
      <c r="F19" s="18">
        <f ca="1">+$C$15+$C$16*F18-15018.5-$C$5/24</f>
        <v>45320.971946013509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2" t="s">
        <v>56</v>
      </c>
      <c r="B21" s="54" t="s">
        <v>78</v>
      </c>
      <c r="C21" s="53">
        <v>27547.210999999999</v>
      </c>
      <c r="D21" s="53" t="s">
        <v>38</v>
      </c>
      <c r="E21">
        <f>+(C21-C$7)/C$8</f>
        <v>-9418.0185331201119</v>
      </c>
      <c r="F21">
        <f>ROUND(2*E21,0)/2</f>
        <v>-9418</v>
      </c>
      <c r="G21">
        <f>+C21-(C$7+F21*C$8)</f>
        <v>-5.0112000000808621E-2</v>
      </c>
      <c r="H21">
        <f>+G21</f>
        <v>-5.0112000000808621E-2</v>
      </c>
      <c r="O21">
        <f ca="1">+C$11+C$12*$F21</f>
        <v>-3.4673105257060424E-2</v>
      </c>
      <c r="Q21" s="2">
        <f>+C21-15018.5</f>
        <v>12528.710999999999</v>
      </c>
    </row>
    <row r="22" spans="1:18" x14ac:dyDescent="0.2">
      <c r="A22" s="52" t="s">
        <v>56</v>
      </c>
      <c r="B22" s="54" t="s">
        <v>78</v>
      </c>
      <c r="C22" s="53">
        <v>27690.594000000001</v>
      </c>
      <c r="D22" s="53" t="s">
        <v>38</v>
      </c>
      <c r="E22">
        <f>+(C22-C$7)/C$8</f>
        <v>-9364.9906284070948</v>
      </c>
      <c r="F22">
        <f>ROUND(2*E22,0)/2</f>
        <v>-9365</v>
      </c>
      <c r="G22">
        <f>+C22-(C$7+F22*C$8)</f>
        <v>2.5340000003780005E-2</v>
      </c>
      <c r="H22">
        <f>+G22</f>
        <v>2.5340000003780005E-2</v>
      </c>
      <c r="O22">
        <f ca="1">+C$11+C$12*$F22</f>
        <v>-3.4199442867625593E-2</v>
      </c>
      <c r="Q22" s="2">
        <f>+C22-15018.5</f>
        <v>12672.094000000001</v>
      </c>
    </row>
    <row r="23" spans="1:18" x14ac:dyDescent="0.2">
      <c r="A23" s="52" t="s">
        <v>56</v>
      </c>
      <c r="B23" s="54" t="s">
        <v>78</v>
      </c>
      <c r="C23" s="53">
        <v>27866.272000000001</v>
      </c>
      <c r="D23" s="53" t="s">
        <v>38</v>
      </c>
      <c r="E23">
        <f>+(C23-C$7)/C$8</f>
        <v>-9300.0189354994745</v>
      </c>
      <c r="F23">
        <f>ROUND(2*E23,0)/2</f>
        <v>-9300</v>
      </c>
      <c r="G23">
        <f>+C23-(C$7+F23*C$8)</f>
        <v>-5.1199999998061685E-2</v>
      </c>
      <c r="H23">
        <f>+G23</f>
        <v>-5.1199999998061685E-2</v>
      </c>
      <c r="O23">
        <f ca="1">+C$11+C$12*$F23</f>
        <v>-3.3618536163601734E-2</v>
      </c>
      <c r="Q23" s="2">
        <f>+C23-15018.5</f>
        <v>12847.772000000001</v>
      </c>
    </row>
    <row r="24" spans="1:18" x14ac:dyDescent="0.2">
      <c r="A24" s="52" t="s">
        <v>56</v>
      </c>
      <c r="B24" s="54" t="s">
        <v>78</v>
      </c>
      <c r="C24" s="53">
        <v>28158.275000000001</v>
      </c>
      <c r="D24" s="53" t="s">
        <v>38</v>
      </c>
      <c r="E24">
        <f>+(C24-C$7)/C$8</f>
        <v>-9192.0263055509113</v>
      </c>
      <c r="F24">
        <f>ROUND(2*E24,0)/2</f>
        <v>-9192</v>
      </c>
      <c r="G24">
        <f>+C24-(C$7+F24*C$8)</f>
        <v>-7.1127999995951541E-2</v>
      </c>
      <c r="H24">
        <f>+G24</f>
        <v>-7.1127999995951541E-2</v>
      </c>
      <c r="O24">
        <f ca="1">+C$11+C$12*$F24</f>
        <v>-3.265333733230058E-2</v>
      </c>
      <c r="Q24" s="2">
        <f>+C24-15018.5</f>
        <v>13139.775000000001</v>
      </c>
    </row>
    <row r="25" spans="1:18" x14ac:dyDescent="0.2">
      <c r="A25" s="52" t="s">
        <v>56</v>
      </c>
      <c r="B25" s="54" t="s">
        <v>78</v>
      </c>
      <c r="C25" s="53">
        <v>28269.214</v>
      </c>
      <c r="D25" s="53" t="s">
        <v>38</v>
      </c>
      <c r="E25">
        <f>+(C25-C$7)/C$8</f>
        <v>-9150.9972942946442</v>
      </c>
      <c r="F25">
        <f>ROUND(2*E25,0)/2</f>
        <v>-9151</v>
      </c>
      <c r="G25">
        <f>+C25-(C$7+F25*C$8)</f>
        <v>7.3160000029020011E-3</v>
      </c>
      <c r="H25">
        <f>+G25</f>
        <v>7.3160000029020011E-3</v>
      </c>
      <c r="O25">
        <f ca="1">+C$11+C$12*$F25</f>
        <v>-3.2286919257454763E-2</v>
      </c>
      <c r="Q25" s="2">
        <f>+C25-15018.5</f>
        <v>13250.714</v>
      </c>
    </row>
    <row r="26" spans="1:18" x14ac:dyDescent="0.2">
      <c r="A26" s="52" t="s">
        <v>56</v>
      </c>
      <c r="B26" s="54" t="s">
        <v>78</v>
      </c>
      <c r="C26" s="53">
        <v>28277.311000000002</v>
      </c>
      <c r="D26" s="53" t="s">
        <v>38</v>
      </c>
      <c r="E26">
        <f>+(C26-C$7)/C$8</f>
        <v>-9148.0027486060953</v>
      </c>
      <c r="F26">
        <f>ROUND(2*E26,0)/2</f>
        <v>-9148</v>
      </c>
      <c r="G26">
        <f>+C26-(C$7+F26*C$8)</f>
        <v>-7.4319999985164031E-3</v>
      </c>
      <c r="H26">
        <f>+G26</f>
        <v>-7.4319999985164031E-3</v>
      </c>
      <c r="O26">
        <f ca="1">+C$11+C$12*$F26</f>
        <v>-3.2260108178807506E-2</v>
      </c>
      <c r="Q26" s="2">
        <f>+C26-15018.5</f>
        <v>13258.811000000002</v>
      </c>
    </row>
    <row r="27" spans="1:18" x14ac:dyDescent="0.2">
      <c r="A27" s="52" t="s">
        <v>56</v>
      </c>
      <c r="B27" s="54" t="s">
        <v>78</v>
      </c>
      <c r="C27" s="53">
        <v>28458.442999999999</v>
      </c>
      <c r="D27" s="53" t="s">
        <v>38</v>
      </c>
      <c r="E27">
        <f>+(C27-C$7)/C$8</f>
        <v>-9081.0139812035577</v>
      </c>
      <c r="F27">
        <f>ROUND(2*E27,0)/2</f>
        <v>-9081</v>
      </c>
      <c r="G27">
        <f>+C27-(C$7+F27*C$8)</f>
        <v>-3.7803999999596272E-2</v>
      </c>
      <c r="H27">
        <f>+G27</f>
        <v>-3.7803999999596272E-2</v>
      </c>
      <c r="O27">
        <f ca="1">+C$11+C$12*$F27</f>
        <v>-3.1661327422352156E-2</v>
      </c>
      <c r="Q27" s="2">
        <f>+C27-15018.5</f>
        <v>13439.942999999999</v>
      </c>
    </row>
    <row r="28" spans="1:18" x14ac:dyDescent="0.2">
      <c r="A28" s="52" t="s">
        <v>56</v>
      </c>
      <c r="B28" s="54" t="s">
        <v>78</v>
      </c>
      <c r="C28" s="53">
        <v>28523.295999999998</v>
      </c>
      <c r="D28" s="53" t="s">
        <v>38</v>
      </c>
      <c r="E28">
        <f>+(C28-C$7)/C$8</f>
        <v>-9057.0291384791544</v>
      </c>
      <c r="F28">
        <f>ROUND(2*E28,0)/2</f>
        <v>-9057</v>
      </c>
      <c r="G28">
        <f>+C28-(C$7+F28*C$8)</f>
        <v>-7.878799999889452E-2</v>
      </c>
      <c r="H28">
        <f>+G28</f>
        <v>-7.878799999889452E-2</v>
      </c>
      <c r="O28">
        <f ca="1">+C$11+C$12*$F28</f>
        <v>-3.1446838793174128E-2</v>
      </c>
      <c r="Q28" s="2">
        <f>+C28-15018.5</f>
        <v>13504.795999999998</v>
      </c>
    </row>
    <row r="29" spans="1:18" x14ac:dyDescent="0.2">
      <c r="A29" s="56" t="str">
        <f>D7</f>
        <v>VSX</v>
      </c>
      <c r="B29" s="56"/>
      <c r="C29" s="56">
        <f>C7</f>
        <v>53012.741999999998</v>
      </c>
      <c r="D29" s="56"/>
      <c r="E29">
        <f>+(C29-C$7)/C$8</f>
        <v>0</v>
      </c>
      <c r="F29">
        <f>ROUND(2*E29,0)/2</f>
        <v>0</v>
      </c>
      <c r="G29">
        <f>+C29-(C$7+F29*C$8)</f>
        <v>0</v>
      </c>
      <c r="H29">
        <f>+G29</f>
        <v>0</v>
      </c>
      <c r="O29">
        <f ca="1">+C$11+C$12*$F29</f>
        <v>4.9495807642887316E-2</v>
      </c>
      <c r="Q29" s="2">
        <f>+C29-15018.5</f>
        <v>37994.241999999998</v>
      </c>
      <c r="R29" s="57"/>
    </row>
    <row r="30" spans="1:18" x14ac:dyDescent="0.2">
      <c r="A30" t="s">
        <v>79</v>
      </c>
      <c r="C30" s="8">
        <v>53012.841999999997</v>
      </c>
      <c r="D30" s="8" t="s">
        <v>13</v>
      </c>
      <c r="E30">
        <f>+(C30-C$7)/C$8</f>
        <v>3.6983397412695074E-2</v>
      </c>
      <c r="F30">
        <f>ROUND(2*E30,0)/2</f>
        <v>0</v>
      </c>
      <c r="G30">
        <f>+C30-(C$7+F30*C$8)</f>
        <v>9.9999999998544808E-2</v>
      </c>
      <c r="I30">
        <f>+G30</f>
        <v>9.9999999998544808E-2</v>
      </c>
      <c r="O30">
        <f ca="1">+C$11+C$12*$F30</f>
        <v>4.9495807642887316E-2</v>
      </c>
      <c r="Q30" s="2">
        <f>+C30-15018.5</f>
        <v>37994.341999999997</v>
      </c>
    </row>
    <row r="31" spans="1:18" x14ac:dyDescent="0.2">
      <c r="B31" s="3"/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  <c r="Q34" s="2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  <row r="6941" spans="3:4" x14ac:dyDescent="0.2">
      <c r="C6941" s="8"/>
      <c r="D6941" s="8"/>
    </row>
  </sheetData>
  <sortState xmlns:xlrd2="http://schemas.microsoft.com/office/spreadsheetml/2017/richdata2" ref="A21:R35">
    <sortCondition ref="C21:C3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2"/>
  <sheetViews>
    <sheetView workbookViewId="0">
      <selection activeCell="A11" sqref="A11:D1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41</v>
      </c>
      <c r="I1" s="40" t="s">
        <v>42</v>
      </c>
      <c r="J1" s="41" t="s">
        <v>40</v>
      </c>
    </row>
    <row r="2" spans="1:16" x14ac:dyDescent="0.2">
      <c r="I2" s="42" t="s">
        <v>43</v>
      </c>
      <c r="J2" s="43" t="s">
        <v>39</v>
      </c>
    </row>
    <row r="3" spans="1:16" x14ac:dyDescent="0.2">
      <c r="A3" s="44" t="s">
        <v>44</v>
      </c>
      <c r="I3" s="42" t="s">
        <v>45</v>
      </c>
      <c r="J3" s="43" t="s">
        <v>37</v>
      </c>
    </row>
    <row r="4" spans="1:16" x14ac:dyDescent="0.2">
      <c r="I4" s="42" t="s">
        <v>46</v>
      </c>
      <c r="J4" s="43" t="s">
        <v>37</v>
      </c>
    </row>
    <row r="5" spans="1:16" ht="13.5" thickBot="1" x14ac:dyDescent="0.25">
      <c r="I5" s="45" t="s">
        <v>47</v>
      </c>
      <c r="J5" s="46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8" si="0">P11</f>
        <v> CIEL 58.46 </v>
      </c>
      <c r="B11" s="3" t="str">
        <f t="shared" ref="B11:B18" si="1">IF(H11=INT(H11),"I","II")</f>
        <v>I</v>
      </c>
      <c r="C11" s="8">
        <f t="shared" ref="C11:C18" si="2">1*G11</f>
        <v>27547.210999999999</v>
      </c>
      <c r="D11" s="10" t="str">
        <f t="shared" ref="D11:D18" si="3">VLOOKUP(F11,I$1:J$5,2,FALSE)</f>
        <v>vis</v>
      </c>
      <c r="E11" s="47" t="e">
        <f>VLOOKUP(C11,Active!C$22:E$974,3,FALSE)</f>
        <v>#N/A</v>
      </c>
      <c r="F11" s="3" t="s">
        <v>47</v>
      </c>
      <c r="G11" s="10" t="str">
        <f t="shared" ref="G11:G18" si="4">MID(I11,3,LEN(I11)-3)</f>
        <v>27547.211</v>
      </c>
      <c r="H11" s="8">
        <f t="shared" ref="H11:H18" si="5">1*K11</f>
        <v>-9418</v>
      </c>
      <c r="I11" s="48" t="s">
        <v>51</v>
      </c>
      <c r="J11" s="49" t="s">
        <v>52</v>
      </c>
      <c r="K11" s="48">
        <v>-9418</v>
      </c>
      <c r="L11" s="48" t="s">
        <v>53</v>
      </c>
      <c r="M11" s="49" t="s">
        <v>54</v>
      </c>
      <c r="N11" s="49"/>
      <c r="O11" s="50" t="s">
        <v>55</v>
      </c>
      <c r="P11" s="50" t="s">
        <v>56</v>
      </c>
    </row>
    <row r="12" spans="1:16" ht="12.75" customHeight="1" thickBot="1" x14ac:dyDescent="0.25">
      <c r="A12" s="8" t="str">
        <f t="shared" si="0"/>
        <v> CIEL 58.46 </v>
      </c>
      <c r="B12" s="3" t="str">
        <f t="shared" si="1"/>
        <v>I</v>
      </c>
      <c r="C12" s="8">
        <f t="shared" si="2"/>
        <v>27690.594000000001</v>
      </c>
      <c r="D12" s="10" t="str">
        <f t="shared" si="3"/>
        <v>vis</v>
      </c>
      <c r="E12" s="47">
        <f>VLOOKUP(C12,Active!C$22:E$974,3,FALSE)</f>
        <v>-9364.9906284070948</v>
      </c>
      <c r="F12" s="3" t="s">
        <v>47</v>
      </c>
      <c r="G12" s="10" t="str">
        <f t="shared" si="4"/>
        <v>27690.594</v>
      </c>
      <c r="H12" s="8">
        <f t="shared" si="5"/>
        <v>-9365</v>
      </c>
      <c r="I12" s="48" t="s">
        <v>57</v>
      </c>
      <c r="J12" s="49" t="s">
        <v>58</v>
      </c>
      <c r="K12" s="48">
        <v>-9365</v>
      </c>
      <c r="L12" s="48" t="s">
        <v>59</v>
      </c>
      <c r="M12" s="49" t="s">
        <v>54</v>
      </c>
      <c r="N12" s="49"/>
      <c r="O12" s="50" t="s">
        <v>55</v>
      </c>
      <c r="P12" s="50" t="s">
        <v>56</v>
      </c>
    </row>
    <row r="13" spans="1:16" ht="12.75" customHeight="1" thickBot="1" x14ac:dyDescent="0.25">
      <c r="A13" s="8" t="str">
        <f t="shared" si="0"/>
        <v> CIEL 58.46 </v>
      </c>
      <c r="B13" s="3" t="str">
        <f t="shared" si="1"/>
        <v>I</v>
      </c>
      <c r="C13" s="8">
        <f t="shared" si="2"/>
        <v>27866.272000000001</v>
      </c>
      <c r="D13" s="10" t="str">
        <f t="shared" si="3"/>
        <v>vis</v>
      </c>
      <c r="E13" s="47">
        <f>VLOOKUP(C13,Active!C$22:E$974,3,FALSE)</f>
        <v>-9300.0189354994745</v>
      </c>
      <c r="F13" s="3" t="s">
        <v>47</v>
      </c>
      <c r="G13" s="10" t="str">
        <f t="shared" si="4"/>
        <v>27866.272</v>
      </c>
      <c r="H13" s="8">
        <f t="shared" si="5"/>
        <v>-9300</v>
      </c>
      <c r="I13" s="48" t="s">
        <v>60</v>
      </c>
      <c r="J13" s="49" t="s">
        <v>61</v>
      </c>
      <c r="K13" s="48">
        <v>-9300</v>
      </c>
      <c r="L13" s="48" t="s">
        <v>62</v>
      </c>
      <c r="M13" s="49" t="s">
        <v>54</v>
      </c>
      <c r="N13" s="49"/>
      <c r="O13" s="50" t="s">
        <v>55</v>
      </c>
      <c r="P13" s="50" t="s">
        <v>56</v>
      </c>
    </row>
    <row r="14" spans="1:16" ht="12.75" customHeight="1" thickBot="1" x14ac:dyDescent="0.25">
      <c r="A14" s="8" t="str">
        <f t="shared" si="0"/>
        <v> CIEL 58.46 </v>
      </c>
      <c r="B14" s="3" t="str">
        <f t="shared" si="1"/>
        <v>I</v>
      </c>
      <c r="C14" s="8">
        <f t="shared" si="2"/>
        <v>28158.275000000001</v>
      </c>
      <c r="D14" s="10" t="str">
        <f t="shared" si="3"/>
        <v>vis</v>
      </c>
      <c r="E14" s="47">
        <f>VLOOKUP(C14,Active!C$22:E$974,3,FALSE)</f>
        <v>-9192.0263055509113</v>
      </c>
      <c r="F14" s="3" t="s">
        <v>47</v>
      </c>
      <c r="G14" s="10" t="str">
        <f t="shared" si="4"/>
        <v>28158.275</v>
      </c>
      <c r="H14" s="8">
        <f t="shared" si="5"/>
        <v>-9192</v>
      </c>
      <c r="I14" s="48" t="s">
        <v>63</v>
      </c>
      <c r="J14" s="49" t="s">
        <v>64</v>
      </c>
      <c r="K14" s="48">
        <v>-9192</v>
      </c>
      <c r="L14" s="48" t="s">
        <v>65</v>
      </c>
      <c r="M14" s="49" t="s">
        <v>54</v>
      </c>
      <c r="N14" s="49"/>
      <c r="O14" s="50" t="s">
        <v>55</v>
      </c>
      <c r="P14" s="50" t="s">
        <v>56</v>
      </c>
    </row>
    <row r="15" spans="1:16" ht="12.75" customHeight="1" thickBot="1" x14ac:dyDescent="0.25">
      <c r="A15" s="8" t="str">
        <f t="shared" si="0"/>
        <v> CIEL 58.46 </v>
      </c>
      <c r="B15" s="3" t="str">
        <f t="shared" si="1"/>
        <v>I</v>
      </c>
      <c r="C15" s="8">
        <f t="shared" si="2"/>
        <v>28269.214</v>
      </c>
      <c r="D15" s="10" t="str">
        <f t="shared" si="3"/>
        <v>vis</v>
      </c>
      <c r="E15" s="47">
        <f>VLOOKUP(C15,Active!C$22:E$974,3,FALSE)</f>
        <v>-9150.9972942946442</v>
      </c>
      <c r="F15" s="3" t="s">
        <v>47</v>
      </c>
      <c r="G15" s="10" t="str">
        <f t="shared" si="4"/>
        <v>28269.214</v>
      </c>
      <c r="H15" s="8">
        <f t="shared" si="5"/>
        <v>-9151</v>
      </c>
      <c r="I15" s="48" t="s">
        <v>66</v>
      </c>
      <c r="J15" s="49" t="s">
        <v>67</v>
      </c>
      <c r="K15" s="48">
        <v>-9151</v>
      </c>
      <c r="L15" s="48" t="s">
        <v>68</v>
      </c>
      <c r="M15" s="49" t="s">
        <v>54</v>
      </c>
      <c r="N15" s="49"/>
      <c r="O15" s="50" t="s">
        <v>55</v>
      </c>
      <c r="P15" s="50" t="s">
        <v>56</v>
      </c>
    </row>
    <row r="16" spans="1:16" ht="12.75" customHeight="1" thickBot="1" x14ac:dyDescent="0.25">
      <c r="A16" s="8" t="str">
        <f t="shared" si="0"/>
        <v> CIEL 58.46 </v>
      </c>
      <c r="B16" s="3" t="str">
        <f t="shared" si="1"/>
        <v>I</v>
      </c>
      <c r="C16" s="8">
        <f t="shared" si="2"/>
        <v>28277.311000000002</v>
      </c>
      <c r="D16" s="10" t="str">
        <f t="shared" si="3"/>
        <v>vis</v>
      </c>
      <c r="E16" s="47">
        <f>VLOOKUP(C16,Active!C$22:E$974,3,FALSE)</f>
        <v>-9148.0027486060953</v>
      </c>
      <c r="F16" s="3" t="s">
        <v>47</v>
      </c>
      <c r="G16" s="10" t="str">
        <f t="shared" si="4"/>
        <v>28277.311</v>
      </c>
      <c r="H16" s="8">
        <f t="shared" si="5"/>
        <v>-9148</v>
      </c>
      <c r="I16" s="48" t="s">
        <v>69</v>
      </c>
      <c r="J16" s="49" t="s">
        <v>70</v>
      </c>
      <c r="K16" s="48">
        <v>-9148</v>
      </c>
      <c r="L16" s="48" t="s">
        <v>71</v>
      </c>
      <c r="M16" s="49" t="s">
        <v>54</v>
      </c>
      <c r="N16" s="49"/>
      <c r="O16" s="50" t="s">
        <v>55</v>
      </c>
      <c r="P16" s="50" t="s">
        <v>56</v>
      </c>
    </row>
    <row r="17" spans="1:16" ht="12.75" customHeight="1" thickBot="1" x14ac:dyDescent="0.25">
      <c r="A17" s="8" t="str">
        <f t="shared" si="0"/>
        <v> CIEL 58.46 </v>
      </c>
      <c r="B17" s="3" t="str">
        <f t="shared" si="1"/>
        <v>I</v>
      </c>
      <c r="C17" s="8">
        <f t="shared" si="2"/>
        <v>28458.442999999999</v>
      </c>
      <c r="D17" s="10" t="str">
        <f t="shared" si="3"/>
        <v>vis</v>
      </c>
      <c r="E17" s="47">
        <f>VLOOKUP(C17,Active!C$22:E$974,3,FALSE)</f>
        <v>-9081.0139812035577</v>
      </c>
      <c r="F17" s="3" t="s">
        <v>47</v>
      </c>
      <c r="G17" s="10" t="str">
        <f t="shared" si="4"/>
        <v>28458.443</v>
      </c>
      <c r="H17" s="8">
        <f t="shared" si="5"/>
        <v>-9081</v>
      </c>
      <c r="I17" s="48" t="s">
        <v>72</v>
      </c>
      <c r="J17" s="49" t="s">
        <v>73</v>
      </c>
      <c r="K17" s="48">
        <v>-9081</v>
      </c>
      <c r="L17" s="48" t="s">
        <v>74</v>
      </c>
      <c r="M17" s="49" t="s">
        <v>54</v>
      </c>
      <c r="N17" s="49"/>
      <c r="O17" s="50" t="s">
        <v>55</v>
      </c>
      <c r="P17" s="50" t="s">
        <v>56</v>
      </c>
    </row>
    <row r="18" spans="1:16" ht="12.75" customHeight="1" thickBot="1" x14ac:dyDescent="0.25">
      <c r="A18" s="8" t="str">
        <f t="shared" si="0"/>
        <v> CIEL 58.46 </v>
      </c>
      <c r="B18" s="3" t="str">
        <f t="shared" si="1"/>
        <v>I</v>
      </c>
      <c r="C18" s="8">
        <f t="shared" si="2"/>
        <v>28523.295999999998</v>
      </c>
      <c r="D18" s="10" t="str">
        <f t="shared" si="3"/>
        <v>vis</v>
      </c>
      <c r="E18" s="47">
        <f>VLOOKUP(C18,Active!C$22:E$974,3,FALSE)</f>
        <v>-9057.0291384791544</v>
      </c>
      <c r="F18" s="3" t="s">
        <v>47</v>
      </c>
      <c r="G18" s="10" t="str">
        <f t="shared" si="4"/>
        <v>28523.296</v>
      </c>
      <c r="H18" s="8">
        <f t="shared" si="5"/>
        <v>-9057</v>
      </c>
      <c r="I18" s="48" t="s">
        <v>75</v>
      </c>
      <c r="J18" s="49" t="s">
        <v>76</v>
      </c>
      <c r="K18" s="48">
        <v>-9057</v>
      </c>
      <c r="L18" s="48" t="s">
        <v>77</v>
      </c>
      <c r="M18" s="49" t="s">
        <v>54</v>
      </c>
      <c r="N18" s="49"/>
      <c r="O18" s="50" t="s">
        <v>55</v>
      </c>
      <c r="P18" s="50" t="s">
        <v>56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2024-01-26T05:28:49Z</dcterms:modified>
</cp:coreProperties>
</file>