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8427BC-4AC2-4736-9B5F-AB67919F6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96" i="2" l="1"/>
  <c r="Q95" i="2"/>
  <c r="Q94" i="2"/>
  <c r="Q92" i="2"/>
  <c r="Q93" i="2"/>
  <c r="Q90" i="2"/>
  <c r="Q83" i="2"/>
  <c r="Q87" i="2"/>
  <c r="Q89" i="2"/>
  <c r="Q91" i="2"/>
  <c r="D9" i="2"/>
  <c r="C9" i="2"/>
  <c r="Q78" i="2"/>
  <c r="Q86" i="2"/>
  <c r="Q88" i="2"/>
  <c r="Q75" i="2"/>
  <c r="Q80" i="2"/>
  <c r="Q77" i="2"/>
  <c r="Q79" i="2"/>
  <c r="Q81" i="2"/>
  <c r="Q82" i="2"/>
  <c r="Q84" i="2"/>
  <c r="Q85" i="2"/>
  <c r="Q21" i="2"/>
  <c r="Q22" i="2"/>
  <c r="Q24" i="2"/>
  <c r="Q25" i="2"/>
  <c r="Q26" i="2"/>
  <c r="Q27" i="2"/>
  <c r="Q28" i="2"/>
  <c r="Q29" i="2"/>
  <c r="Q49" i="2"/>
  <c r="Q57" i="2"/>
  <c r="Q62" i="2"/>
  <c r="Q74" i="2"/>
  <c r="G50" i="3"/>
  <c r="C50" i="3"/>
  <c r="G62" i="3"/>
  <c r="C6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61" i="3"/>
  <c r="C61" i="3"/>
  <c r="G39" i="3"/>
  <c r="C39" i="3"/>
  <c r="G38" i="3"/>
  <c r="C38" i="3"/>
  <c r="G37" i="3"/>
  <c r="C37" i="3"/>
  <c r="G36" i="3"/>
  <c r="C36" i="3"/>
  <c r="G60" i="3"/>
  <c r="C60" i="3"/>
  <c r="G35" i="3"/>
  <c r="C35" i="3"/>
  <c r="G34" i="3"/>
  <c r="C34" i="3"/>
  <c r="G33" i="3"/>
  <c r="C33" i="3"/>
  <c r="G32" i="3"/>
  <c r="C32" i="3"/>
  <c r="G31" i="3"/>
  <c r="C31" i="3"/>
  <c r="G30" i="3"/>
  <c r="C30" i="3"/>
  <c r="G59" i="3"/>
  <c r="C59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H50" i="3"/>
  <c r="B50" i="3"/>
  <c r="D50" i="3"/>
  <c r="A50" i="3"/>
  <c r="H62" i="3"/>
  <c r="B62" i="3"/>
  <c r="D62" i="3"/>
  <c r="A62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61" i="3"/>
  <c r="B61" i="3"/>
  <c r="D61" i="3"/>
  <c r="A61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60" i="3"/>
  <c r="B60" i="3"/>
  <c r="D60" i="3"/>
  <c r="A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59" i="3"/>
  <c r="B59" i="3"/>
  <c r="D59" i="3"/>
  <c r="A59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Q76" i="2"/>
  <c r="Q68" i="2"/>
  <c r="Q73" i="2"/>
  <c r="Q72" i="2"/>
  <c r="Q70" i="2"/>
  <c r="Q50" i="2"/>
  <c r="Q51" i="2"/>
  <c r="Q53" i="2"/>
  <c r="Q55" i="2"/>
  <c r="Q58" i="2"/>
  <c r="Q59" i="2"/>
  <c r="Q60" i="2"/>
  <c r="Q64" i="2"/>
  <c r="Q65" i="2"/>
  <c r="Q66" i="2"/>
  <c r="Q67" i="2"/>
  <c r="Q71" i="2"/>
  <c r="Q69" i="2"/>
  <c r="F16" i="2"/>
  <c r="F17" i="2" s="1"/>
  <c r="Q61" i="2"/>
  <c r="Q63" i="2"/>
  <c r="Q56" i="2"/>
  <c r="C17" i="2"/>
  <c r="Q52" i="2"/>
  <c r="C7" i="2"/>
  <c r="E96" i="2" s="1"/>
  <c r="F96" i="2" s="1"/>
  <c r="G96" i="2" s="1"/>
  <c r="K96" i="2" s="1"/>
  <c r="E24" i="2"/>
  <c r="F24" i="2" s="1"/>
  <c r="G24" i="2" s="1"/>
  <c r="J24" i="2" s="1"/>
  <c r="Q23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54" i="2"/>
  <c r="Q45" i="1"/>
  <c r="C17" i="1"/>
  <c r="Q30" i="1"/>
  <c r="Q28" i="1"/>
  <c r="Q26" i="1"/>
  <c r="Q24" i="1"/>
  <c r="Q22" i="1"/>
  <c r="Q23" i="1"/>
  <c r="Q25" i="1"/>
  <c r="Q27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7" i="1"/>
  <c r="E39" i="1"/>
  <c r="F39" i="1"/>
  <c r="G39" i="1"/>
  <c r="I39" i="1"/>
  <c r="C8" i="1"/>
  <c r="Q21" i="1"/>
  <c r="E53" i="3"/>
  <c r="E22" i="2"/>
  <c r="E52" i="3" s="1"/>
  <c r="F22" i="2"/>
  <c r="G22" i="2" s="1"/>
  <c r="J22" i="2" s="1"/>
  <c r="E32" i="2"/>
  <c r="E48" i="2"/>
  <c r="E29" i="3" s="1"/>
  <c r="E28" i="2"/>
  <c r="E57" i="3" s="1"/>
  <c r="E30" i="2"/>
  <c r="F30" i="2"/>
  <c r="E73" i="2"/>
  <c r="F73" i="2" s="1"/>
  <c r="G73" i="2" s="1"/>
  <c r="N73" i="2" s="1"/>
  <c r="E69" i="2"/>
  <c r="F69" i="2" s="1"/>
  <c r="G69" i="2" s="1"/>
  <c r="J69" i="2" s="1"/>
  <c r="E65" i="2"/>
  <c r="E41" i="3" s="1"/>
  <c r="E60" i="2"/>
  <c r="E38" i="3" s="1"/>
  <c r="F60" i="2"/>
  <c r="G60" i="2" s="1"/>
  <c r="N60" i="2" s="1"/>
  <c r="E55" i="2"/>
  <c r="F55" i="2" s="1"/>
  <c r="G55" i="2" s="1"/>
  <c r="N55" i="2" s="1"/>
  <c r="E51" i="2"/>
  <c r="F51" i="2" s="1"/>
  <c r="G51" i="2" s="1"/>
  <c r="N51" i="2" s="1"/>
  <c r="E46" i="2"/>
  <c r="F46" i="2" s="1"/>
  <c r="G46" i="2" s="1"/>
  <c r="I46" i="2" s="1"/>
  <c r="E42" i="2"/>
  <c r="E23" i="3" s="1"/>
  <c r="E40" i="2"/>
  <c r="F40" i="2" s="1"/>
  <c r="G40" i="2" s="1"/>
  <c r="I40" i="2" s="1"/>
  <c r="E38" i="2"/>
  <c r="F38" i="2" s="1"/>
  <c r="G38" i="2" s="1"/>
  <c r="I38" i="2" s="1"/>
  <c r="E34" i="2"/>
  <c r="F34" i="2" s="1"/>
  <c r="G34" i="2" s="1"/>
  <c r="N34" i="2" s="1"/>
  <c r="F32" i="2"/>
  <c r="G32" i="2" s="1"/>
  <c r="N32" i="2" s="1"/>
  <c r="E57" i="2"/>
  <c r="F57" i="2"/>
  <c r="G57" i="2" s="1"/>
  <c r="J57" i="2" s="1"/>
  <c r="E29" i="2"/>
  <c r="F29" i="2"/>
  <c r="U29" i="2" s="1"/>
  <c r="E27" i="2"/>
  <c r="F27" i="2"/>
  <c r="G27" i="2" s="1"/>
  <c r="J27" i="2" s="1"/>
  <c r="E21" i="2"/>
  <c r="F21" i="2" s="1"/>
  <c r="G21" i="2" s="1"/>
  <c r="J21" i="2" s="1"/>
  <c r="E25" i="1"/>
  <c r="F25" i="1"/>
  <c r="E72" i="2"/>
  <c r="F72" i="2" s="1"/>
  <c r="G72" i="2" s="1"/>
  <c r="N72" i="2" s="1"/>
  <c r="E68" i="2"/>
  <c r="E44" i="3" s="1"/>
  <c r="F68" i="2"/>
  <c r="G68" i="2" s="1"/>
  <c r="J68" i="2" s="1"/>
  <c r="E64" i="2"/>
  <c r="E40" i="3" s="1"/>
  <c r="E59" i="2"/>
  <c r="F59" i="2" s="1"/>
  <c r="G59" i="2" s="1"/>
  <c r="N59" i="2" s="1"/>
  <c r="E54" i="2"/>
  <c r="F54" i="2"/>
  <c r="G54" i="2" s="1"/>
  <c r="J54" i="2" s="1"/>
  <c r="E50" i="2"/>
  <c r="F50" i="2" s="1"/>
  <c r="G50" i="2" s="1"/>
  <c r="N50" i="2" s="1"/>
  <c r="E45" i="2"/>
  <c r="E26" i="3" s="1"/>
  <c r="E41" i="2"/>
  <c r="F41" i="2"/>
  <c r="G41" i="2" s="1"/>
  <c r="N41" i="2" s="1"/>
  <c r="E37" i="2"/>
  <c r="E18" i="3" s="1"/>
  <c r="E33" i="2"/>
  <c r="E14" i="3" s="1"/>
  <c r="E49" i="2"/>
  <c r="F49" i="2" s="1"/>
  <c r="G49" i="2" s="1"/>
  <c r="J49" i="2" s="1"/>
  <c r="E26" i="2"/>
  <c r="E55" i="3" s="1"/>
  <c r="F26" i="2"/>
  <c r="G26" i="2" s="1"/>
  <c r="J26" i="2" s="1"/>
  <c r="E23" i="2"/>
  <c r="F23" i="2" s="1"/>
  <c r="E71" i="2"/>
  <c r="E47" i="3" s="1"/>
  <c r="E67" i="2"/>
  <c r="F67" i="2" s="1"/>
  <c r="G67" i="2" s="1"/>
  <c r="N67" i="2" s="1"/>
  <c r="E63" i="2"/>
  <c r="F63" i="2"/>
  <c r="G63" i="2" s="1"/>
  <c r="N63" i="2" s="1"/>
  <c r="E58" i="2"/>
  <c r="F58" i="2" s="1"/>
  <c r="G58" i="2" s="1"/>
  <c r="N58" i="2" s="1"/>
  <c r="E53" i="2"/>
  <c r="F53" i="2" s="1"/>
  <c r="G53" i="2" s="1"/>
  <c r="N53" i="2" s="1"/>
  <c r="E44" i="2"/>
  <c r="E25" i="3" s="1"/>
  <c r="E36" i="2"/>
  <c r="F36" i="2" s="1"/>
  <c r="G36" i="2" s="1"/>
  <c r="I36" i="2" s="1"/>
  <c r="E74" i="2"/>
  <c r="F74" i="2" s="1"/>
  <c r="G74" i="2" s="1"/>
  <c r="J74" i="2" s="1"/>
  <c r="E25" i="2"/>
  <c r="F25" i="2"/>
  <c r="G25" i="2" s="1"/>
  <c r="J25" i="2" s="1"/>
  <c r="E76" i="2"/>
  <c r="E50" i="3" s="1"/>
  <c r="E70" i="2"/>
  <c r="F70" i="2" s="1"/>
  <c r="G70" i="2" s="1"/>
  <c r="N70" i="2" s="1"/>
  <c r="E66" i="2"/>
  <c r="F66" i="2"/>
  <c r="G66" i="2" s="1"/>
  <c r="N66" i="2" s="1"/>
  <c r="E61" i="2"/>
  <c r="F61" i="2" s="1"/>
  <c r="G61" i="2" s="1"/>
  <c r="N61" i="2" s="1"/>
  <c r="E56" i="2"/>
  <c r="F56" i="2" s="1"/>
  <c r="G56" i="2" s="1"/>
  <c r="N56" i="2" s="1"/>
  <c r="E52" i="2"/>
  <c r="E32" i="3"/>
  <c r="E47" i="2"/>
  <c r="F47" i="2" s="1"/>
  <c r="G47" i="2" s="1"/>
  <c r="I47" i="2" s="1"/>
  <c r="E43" i="2"/>
  <c r="E24" i="3" s="1"/>
  <c r="E39" i="2"/>
  <c r="F39" i="2" s="1"/>
  <c r="G39" i="2" s="1"/>
  <c r="N39" i="2" s="1"/>
  <c r="E35" i="2"/>
  <c r="E16" i="3" s="1"/>
  <c r="F35" i="2"/>
  <c r="G35" i="2" s="1"/>
  <c r="I35" i="2" s="1"/>
  <c r="E31" i="2"/>
  <c r="F31" i="2" s="1"/>
  <c r="G31" i="2" s="1"/>
  <c r="N31" i="2" s="1"/>
  <c r="E62" i="2"/>
  <c r="E61" i="3" s="1"/>
  <c r="F62" i="2"/>
  <c r="G62" i="2" s="1"/>
  <c r="J62" i="2" s="1"/>
  <c r="E15" i="3"/>
  <c r="E22" i="3"/>
  <c r="E54" i="3"/>
  <c r="E46" i="3"/>
  <c r="E21" i="3"/>
  <c r="E42" i="3"/>
  <c r="E56" i="3"/>
  <c r="E28" i="3"/>
  <c r="E31" i="3"/>
  <c r="E37" i="3"/>
  <c r="E27" i="3"/>
  <c r="E11" i="3"/>
  <c r="E34" i="3"/>
  <c r="E51" i="3"/>
  <c r="E58" i="3"/>
  <c r="E43" i="3"/>
  <c r="E35" i="3"/>
  <c r="F52" i="2"/>
  <c r="G52" i="2" s="1"/>
  <c r="J52" i="2" s="1"/>
  <c r="E27" i="1"/>
  <c r="F27" i="1"/>
  <c r="F44" i="2"/>
  <c r="G44" i="2" s="1"/>
  <c r="I44" i="2" s="1"/>
  <c r="F71" i="2"/>
  <c r="G71" i="2"/>
  <c r="J71" i="2" s="1"/>
  <c r="G22" i="1"/>
  <c r="N22" i="1"/>
  <c r="F37" i="2"/>
  <c r="G37" i="2" s="1"/>
  <c r="I37" i="2" s="1"/>
  <c r="E45" i="1"/>
  <c r="F45" i="1"/>
  <c r="E31" i="1"/>
  <c r="F31" i="1"/>
  <c r="G31" i="1"/>
  <c r="I31" i="1"/>
  <c r="E40" i="1"/>
  <c r="F40" i="1"/>
  <c r="G33" i="1"/>
  <c r="I33" i="1"/>
  <c r="E35" i="1"/>
  <c r="F35" i="1"/>
  <c r="G35" i="1"/>
  <c r="N35" i="1"/>
  <c r="E60" i="3"/>
  <c r="E32" i="1"/>
  <c r="F32" i="1"/>
  <c r="G32" i="1"/>
  <c r="I32" i="1"/>
  <c r="E24" i="1"/>
  <c r="F24" i="1"/>
  <c r="G24" i="1"/>
  <c r="J24" i="1"/>
  <c r="G27" i="1"/>
  <c r="N27" i="1"/>
  <c r="E30" i="1"/>
  <c r="F30" i="1"/>
  <c r="G30" i="1"/>
  <c r="J30" i="1"/>
  <c r="E21" i="1"/>
  <c r="F21" i="1"/>
  <c r="G21" i="1"/>
  <c r="E37" i="1"/>
  <c r="F37" i="1"/>
  <c r="G40" i="1"/>
  <c r="I40" i="1"/>
  <c r="G23" i="1"/>
  <c r="N23" i="1"/>
  <c r="E23" i="1"/>
  <c r="F23" i="1"/>
  <c r="E33" i="1"/>
  <c r="F33" i="1"/>
  <c r="E38" i="1"/>
  <c r="F38" i="1"/>
  <c r="G38" i="1"/>
  <c r="N38" i="1"/>
  <c r="E22" i="1"/>
  <c r="F22" i="1"/>
  <c r="E41" i="1"/>
  <c r="F41" i="1"/>
  <c r="G41" i="1"/>
  <c r="I41" i="1"/>
  <c r="G29" i="1"/>
  <c r="N29" i="1"/>
  <c r="E42" i="1"/>
  <c r="F42" i="1"/>
  <c r="G42" i="1"/>
  <c r="I42" i="1"/>
  <c r="E13" i="3"/>
  <c r="G25" i="1"/>
  <c r="N25" i="1"/>
  <c r="E44" i="1"/>
  <c r="F44" i="1"/>
  <c r="G44" i="1"/>
  <c r="I44" i="1"/>
  <c r="G37" i="1"/>
  <c r="N37" i="1"/>
  <c r="E29" i="1"/>
  <c r="F29" i="1"/>
  <c r="E26" i="1"/>
  <c r="F26" i="1"/>
  <c r="G26" i="1"/>
  <c r="J26" i="1"/>
  <c r="E43" i="1"/>
  <c r="F43" i="1"/>
  <c r="G43" i="1"/>
  <c r="I43" i="1"/>
  <c r="E36" i="1"/>
  <c r="F36" i="1"/>
  <c r="G36" i="1"/>
  <c r="I36" i="1"/>
  <c r="E28" i="1"/>
  <c r="F28" i="1"/>
  <c r="G28" i="1"/>
  <c r="J28" i="1"/>
  <c r="G45" i="1"/>
  <c r="I45" i="1"/>
  <c r="E34" i="1"/>
  <c r="F34" i="1"/>
  <c r="G34" i="1"/>
  <c r="I34" i="1"/>
  <c r="E75" i="2"/>
  <c r="F75" i="2"/>
  <c r="G75" i="2" s="1"/>
  <c r="K75" i="2" s="1"/>
  <c r="E86" i="2"/>
  <c r="F86" i="2" s="1"/>
  <c r="G86" i="2" s="1"/>
  <c r="K86" i="2" s="1"/>
  <c r="E79" i="2"/>
  <c r="F79" i="2"/>
  <c r="G79" i="2"/>
  <c r="K79" i="2" s="1"/>
  <c r="E80" i="2"/>
  <c r="F80" i="2"/>
  <c r="G80" i="2" s="1"/>
  <c r="K80" i="2" s="1"/>
  <c r="E81" i="2"/>
  <c r="F81" i="2" s="1"/>
  <c r="G81" i="2" s="1"/>
  <c r="K81" i="2" s="1"/>
  <c r="E78" i="2"/>
  <c r="F78" i="2"/>
  <c r="G78" i="2" s="1"/>
  <c r="K78" i="2" s="1"/>
  <c r="E91" i="2"/>
  <c r="F91" i="2" s="1"/>
  <c r="G91" i="2" s="1"/>
  <c r="K91" i="2" s="1"/>
  <c r="E85" i="2"/>
  <c r="F85" i="2"/>
  <c r="G85" i="2"/>
  <c r="K85" i="2" s="1"/>
  <c r="E88" i="2"/>
  <c r="F88" i="2"/>
  <c r="G88" i="2" s="1"/>
  <c r="K88" i="2" s="1"/>
  <c r="C11" i="1"/>
  <c r="H21" i="1"/>
  <c r="C12" i="1"/>
  <c r="C16" i="1"/>
  <c r="D18" i="1"/>
  <c r="O35" i="1"/>
  <c r="O22" i="1"/>
  <c r="O42" i="1"/>
  <c r="O26" i="1"/>
  <c r="O37" i="1"/>
  <c r="O25" i="1"/>
  <c r="O44" i="1"/>
  <c r="O45" i="1"/>
  <c r="O39" i="1"/>
  <c r="O29" i="1"/>
  <c r="O24" i="1"/>
  <c r="O41" i="1"/>
  <c r="O32" i="1"/>
  <c r="O31" i="1"/>
  <c r="O30" i="1"/>
  <c r="O38" i="1"/>
  <c r="O23" i="1"/>
  <c r="O43" i="1"/>
  <c r="O34" i="1"/>
  <c r="O27" i="1"/>
  <c r="O21" i="1"/>
  <c r="O36" i="1"/>
  <c r="O33" i="1"/>
  <c r="O28" i="1"/>
  <c r="O40" i="1"/>
  <c r="C15" i="1"/>
  <c r="C18" i="1"/>
  <c r="E84" i="2" l="1"/>
  <c r="F84" i="2" s="1"/>
  <c r="G84" i="2" s="1"/>
  <c r="K84" i="2" s="1"/>
  <c r="E17" i="3"/>
  <c r="E59" i="3"/>
  <c r="F45" i="2"/>
  <c r="G45" i="2" s="1"/>
  <c r="I45" i="2" s="1"/>
  <c r="E19" i="3"/>
  <c r="F48" i="2"/>
  <c r="G48" i="2" s="1"/>
  <c r="I48" i="2" s="1"/>
  <c r="E92" i="2"/>
  <c r="F92" i="2" s="1"/>
  <c r="G92" i="2" s="1"/>
  <c r="K92" i="2" s="1"/>
  <c r="E36" i="3"/>
  <c r="F43" i="2"/>
  <c r="G43" i="2" s="1"/>
  <c r="I43" i="2" s="1"/>
  <c r="F33" i="2"/>
  <c r="G33" i="2" s="1"/>
  <c r="N33" i="2" s="1"/>
  <c r="E82" i="2"/>
  <c r="F82" i="2" s="1"/>
  <c r="G82" i="2" s="1"/>
  <c r="K82" i="2" s="1"/>
  <c r="E90" i="2"/>
  <c r="F90" i="2" s="1"/>
  <c r="G90" i="2" s="1"/>
  <c r="K90" i="2" s="1"/>
  <c r="E94" i="2"/>
  <c r="F94" i="2" s="1"/>
  <c r="G94" i="2" s="1"/>
  <c r="K94" i="2" s="1"/>
  <c r="E89" i="2"/>
  <c r="F89" i="2" s="1"/>
  <c r="G89" i="2" s="1"/>
  <c r="K89" i="2" s="1"/>
  <c r="F42" i="2"/>
  <c r="G42" i="2" s="1"/>
  <c r="N42" i="2" s="1"/>
  <c r="E95" i="2"/>
  <c r="F95" i="2" s="1"/>
  <c r="G95" i="2" s="1"/>
  <c r="K95" i="2" s="1"/>
  <c r="E62" i="3"/>
  <c r="E87" i="2"/>
  <c r="F87" i="2" s="1"/>
  <c r="G87" i="2" s="1"/>
  <c r="K87" i="2" s="1"/>
  <c r="E77" i="2"/>
  <c r="F77" i="2" s="1"/>
  <c r="G77" i="2" s="1"/>
  <c r="K77" i="2" s="1"/>
  <c r="E83" i="2"/>
  <c r="F83" i="2" s="1"/>
  <c r="G83" i="2" s="1"/>
  <c r="K83" i="2" s="1"/>
  <c r="E93" i="2"/>
  <c r="F93" i="2" s="1"/>
  <c r="G93" i="2" s="1"/>
  <c r="K93" i="2" s="1"/>
  <c r="E45" i="3"/>
  <c r="E49" i="3"/>
  <c r="E48" i="3"/>
  <c r="E12" i="3"/>
  <c r="E39" i="3"/>
  <c r="E33" i="3"/>
  <c r="E30" i="3"/>
  <c r="F64" i="2"/>
  <c r="G64" i="2" s="1"/>
  <c r="N64" i="2" s="1"/>
  <c r="F76" i="2"/>
  <c r="G76" i="2" s="1"/>
  <c r="F65" i="2"/>
  <c r="G65" i="2" s="1"/>
  <c r="N65" i="2" s="1"/>
  <c r="F28" i="2"/>
  <c r="U28" i="2" s="1"/>
  <c r="E20" i="3"/>
  <c r="C11" i="2"/>
  <c r="C12" i="2"/>
  <c r="O96" i="2" l="1"/>
  <c r="O95" i="2"/>
  <c r="C16" i="2"/>
  <c r="D18" i="2" s="1"/>
  <c r="O90" i="2"/>
  <c r="O92" i="2"/>
  <c r="O33" i="2"/>
  <c r="O79" i="2"/>
  <c r="O43" i="2"/>
  <c r="O73" i="2"/>
  <c r="O46" i="2"/>
  <c r="O59" i="2"/>
  <c r="O36" i="2"/>
  <c r="O74" i="2"/>
  <c r="O78" i="2"/>
  <c r="O24" i="2"/>
  <c r="O85" i="2"/>
  <c r="C15" i="2"/>
  <c r="C18" i="2" s="1"/>
  <c r="O80" i="2"/>
  <c r="O40" i="2"/>
  <c r="O82" i="2"/>
  <c r="O60" i="2"/>
  <c r="O84" i="2"/>
  <c r="O21" i="2"/>
  <c r="O69" i="2"/>
  <c r="O30" i="2"/>
  <c r="O63" i="2"/>
  <c r="O23" i="2"/>
  <c r="O72" i="2"/>
  <c r="O25" i="2"/>
  <c r="O70" i="2"/>
  <c r="O81" i="2"/>
  <c r="O55" i="2"/>
  <c r="O22" i="2"/>
  <c r="O65" i="2"/>
  <c r="O62" i="2"/>
  <c r="O48" i="2"/>
  <c r="O61" i="2"/>
  <c r="O42" i="2"/>
  <c r="O27" i="2"/>
  <c r="O37" i="2"/>
  <c r="O87" i="2"/>
  <c r="O35" i="2"/>
  <c r="O93" i="2"/>
  <c r="O71" i="2"/>
  <c r="O44" i="2"/>
  <c r="O68" i="2"/>
  <c r="O57" i="2"/>
  <c r="O75" i="2"/>
  <c r="O26" i="2"/>
  <c r="O89" i="2"/>
  <c r="O32" i="2"/>
  <c r="O45" i="2"/>
  <c r="O31" i="2"/>
  <c r="O56" i="2"/>
  <c r="O41" i="2"/>
  <c r="O83" i="2"/>
  <c r="O34" i="2"/>
  <c r="O49" i="2"/>
  <c r="O50" i="2"/>
  <c r="O66" i="2"/>
  <c r="O86" i="2"/>
  <c r="O76" i="2"/>
  <c r="O29" i="2"/>
  <c r="O39" i="2"/>
  <c r="O88" i="2"/>
  <c r="O52" i="2"/>
  <c r="O53" i="2"/>
  <c r="O54" i="2"/>
  <c r="O94" i="2"/>
  <c r="O77" i="2"/>
  <c r="O38" i="2"/>
  <c r="O91" i="2"/>
  <c r="O64" i="2"/>
  <c r="O51" i="2"/>
  <c r="O58" i="2"/>
  <c r="O47" i="2"/>
  <c r="O28" i="2"/>
  <c r="O67" i="2"/>
  <c r="J76" i="2"/>
  <c r="F18" i="2" l="1"/>
  <c r="F19" i="2" s="1"/>
</calcChain>
</file>

<file path=xl/sharedStrings.xml><?xml version="1.0" encoding="utf-8"?>
<sst xmlns="http://schemas.openxmlformats.org/spreadsheetml/2006/main" count="789" uniqueCount="326">
  <si>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</si>
  <si>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</si>
  <si>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</si>
  <si>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</si>
  <si>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</si>
  <si>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</si>
  <si>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</si>
  <si>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</si>
  <si>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</si>
  <si>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</si>
  <si>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</si>
  <si>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</si>
  <si>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</si>
  <si>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</si>
  <si>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</si>
  <si>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</si>
  <si>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</si>
  <si>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</si>
  <si>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</si>
  <si>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</si>
  <si>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</si>
  <si>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</si>
  <si>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</si>
  <si>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</si>
  <si>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</si>
  <si>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</si>
  <si>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</si>
  <si>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</si>
  <si>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</si>
  <si>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</si>
  <si>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</si>
  <si>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</si>
  <si>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</si>
  <si>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pg</t>
  </si>
  <si>
    <t>BAV-M 39</t>
  </si>
  <si>
    <t>K</t>
  </si>
  <si>
    <t>phe</t>
  </si>
  <si>
    <t>PASP 98,690</t>
  </si>
  <si>
    <t>v</t>
  </si>
  <si>
    <t>Paschke A</t>
  </si>
  <si>
    <t>BBSAG Bull.88</t>
  </si>
  <si>
    <t>B</t>
  </si>
  <si>
    <t>BBSAG Bull.92</t>
  </si>
  <si>
    <t>BAV-M 56</t>
  </si>
  <si>
    <t>BBSAG Bull.97</t>
  </si>
  <si>
    <t>BAV-M 59</t>
  </si>
  <si>
    <t>BAV-M 62</t>
  </si>
  <si>
    <t>BBSAG Bull.101</t>
  </si>
  <si>
    <t>BBSAG Bull.110</t>
  </si>
  <si>
    <t>BBSAG Bull.112</t>
  </si>
  <si>
    <t>Vandebroere J</t>
  </si>
  <si>
    <t>ccd</t>
  </si>
  <si>
    <t>BBSAG Bull.116</t>
  </si>
  <si>
    <t>II</t>
  </si>
  <si>
    <t>Faulkner 1986</t>
  </si>
  <si>
    <t>Faulkner, 1986PASP...98..690F</t>
  </si>
  <si>
    <t>Faulkner</t>
  </si>
  <si>
    <t># of data points:</t>
  </si>
  <si>
    <t>AC CMi / gsc 0768-0610</t>
  </si>
  <si>
    <t>IBVS 5731</t>
  </si>
  <si>
    <t>EA/DW</t>
  </si>
  <si>
    <t>This is a much better period.</t>
  </si>
  <si>
    <t>Found by ToMcat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</si>
  <si>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</si>
  <si>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</si>
  <si>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</si>
  <si>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</si>
  <si>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</si>
  <si>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</si>
  <si>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</si>
  <si>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0073</t>
  </si>
  <si>
    <t>I</t>
  </si>
  <si>
    <t>OEJV 0107</t>
  </si>
  <si>
    <t>OEJV 116</t>
  </si>
  <si>
    <t>Add cycle</t>
  </si>
  <si>
    <t>Old Cycle</t>
  </si>
  <si>
    <t>IBVS 5992</t>
  </si>
  <si>
    <t>JAVSO..36..171</t>
  </si>
  <si>
    <t>JAVSO..38..183</t>
  </si>
  <si>
    <t>JAVSO..39..177</t>
  </si>
  <si>
    <t>IBVS 6029</t>
  </si>
  <si>
    <t>JAVSO..41..122</t>
  </si>
  <si>
    <t>JAVSO..41..328</t>
  </si>
  <si>
    <t>JAVSO..42..426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</si>
  <si>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</si>
  <si>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</si>
  <si>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</si>
  <si>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</si>
  <si>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</si>
  <si>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</si>
  <si>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</si>
  <si>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</si>
  <si>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</si>
  <si>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</si>
  <si>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</si>
  <si>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</si>
  <si>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</si>
  <si>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2431477.27 </t>
  </si>
  <si>
    <t> 21.01.1945 18:28 </t>
  </si>
  <si>
    <t> 0.42 </t>
  </si>
  <si>
    <t>V </t>
  </si>
  <si>
    <t> W.Zessewitsch </t>
  </si>
  <si>
    <t> IODE 4.1.156 </t>
  </si>
  <si>
    <t>2431521.33 </t>
  </si>
  <si>
    <t> 06.03.1945 19:55 </t>
  </si>
  <si>
    <t> 0.25 </t>
  </si>
  <si>
    <t>2431532.36 </t>
  </si>
  <si>
    <t> 17.03.1945 20:38 </t>
  </si>
  <si>
    <t> 0.00 </t>
  </si>
  <si>
    <t>2431559.30 </t>
  </si>
  <si>
    <t> 13.04.1945 19:12 </t>
  </si>
  <si>
    <t> 0.06 </t>
  </si>
  <si>
    <t>2431562.32 </t>
  </si>
  <si>
    <t> 16.04.1945 19:40 </t>
  </si>
  <si>
    <t> 0.48 </t>
  </si>
  <si>
    <t>2431585.32 </t>
  </si>
  <si>
    <t> 09.05.1945 19:40 </t>
  </si>
  <si>
    <t>2444983.434 </t>
  </si>
  <si>
    <t> 13.01.1982 22:24 </t>
  </si>
  <si>
    <t> 0.100 </t>
  </si>
  <si>
    <t> M.Fernandes </t>
  </si>
  <si>
    <t>BAVM 39 </t>
  </si>
  <si>
    <t>2445022.346 </t>
  </si>
  <si>
    <t> 21.02.1982 20:18 </t>
  </si>
  <si>
    <t> -0.013 </t>
  </si>
  <si>
    <t> P.Frank </t>
  </si>
  <si>
    <t>2445115.500 </t>
  </si>
  <si>
    <t> 26.05.1982 00:00 </t>
  </si>
  <si>
    <t> -0.085 </t>
  </si>
  <si>
    <t>2446140.6410 </t>
  </si>
  <si>
    <t> 16.03.1985 03:23 </t>
  </si>
  <si>
    <t> 0.0048 </t>
  </si>
  <si>
    <t>E </t>
  </si>
  <si>
    <t>?</t>
  </si>
  <si>
    <t> D.R.Faulkner </t>
  </si>
  <si>
    <t> PASP 98.691 </t>
  </si>
  <si>
    <t>2446436.7952 </t>
  </si>
  <si>
    <t> 06.01.1986 07:05 </t>
  </si>
  <si>
    <t> 0.0042 </t>
  </si>
  <si>
    <t>2446439.8297 </t>
  </si>
  <si>
    <t> 09.01.1986 07:54 </t>
  </si>
  <si>
    <t> 0.0035 </t>
  </si>
  <si>
    <t>2446440.6970 </t>
  </si>
  <si>
    <t> 10.01.1986 04:43 </t>
  </si>
  <si>
    <t> 0.0036 </t>
  </si>
  <si>
    <t>2447213.39 </t>
  </si>
  <si>
    <t> 21.02.1988 21:21 </t>
  </si>
  <si>
    <t> 0.01 </t>
  </si>
  <si>
    <t> A.Paschke </t>
  </si>
  <si>
    <t> BBS 88 </t>
  </si>
  <si>
    <t>2447566.35 </t>
  </si>
  <si>
    <t> 08.02.1989 20:24 </t>
  </si>
  <si>
    <t> BBS 92 </t>
  </si>
  <si>
    <t>2447592.377 </t>
  </si>
  <si>
    <t> 06.03.1989 21:02 </t>
  </si>
  <si>
    <t> 0.019 </t>
  </si>
  <si>
    <t>2447612.31 </t>
  </si>
  <si>
    <t> 26.03.1989 19:26 </t>
  </si>
  <si>
    <t>2447945.318 </t>
  </si>
  <si>
    <t> 22.02.1990 19:37 </t>
  </si>
  <si>
    <t> 0.002 </t>
  </si>
  <si>
    <t> Moschner&amp;Kleikamp </t>
  </si>
  <si>
    <t>BAVM 56 </t>
  </si>
  <si>
    <t>2448178.600 </t>
  </si>
  <si>
    <t> 14.10.1990 02:24 </t>
  </si>
  <si>
    <t> BBS 97 </t>
  </si>
  <si>
    <t>2448273.563 </t>
  </si>
  <si>
    <t> 17.01.1991 01:30 </t>
  </si>
  <si>
    <t> 0.005 </t>
  </si>
  <si>
    <t>BAVM 59 </t>
  </si>
  <si>
    <t>2448653.400 </t>
  </si>
  <si>
    <t> 31.01.1992 21:36 </t>
  </si>
  <si>
    <t> 0.001 </t>
  </si>
  <si>
    <t> W.Moschner </t>
  </si>
  <si>
    <t>BAVM 62 </t>
  </si>
  <si>
    <t>2448699.365 </t>
  </si>
  <si>
    <t> 17.03.1992 20:45 </t>
  </si>
  <si>
    <t> 0.003 </t>
  </si>
  <si>
    <t> BBS 101 </t>
  </si>
  <si>
    <t>2448712.370 </t>
  </si>
  <si>
    <t> 30.03.1992 20:52 </t>
  </si>
  <si>
    <t> 0.000 </t>
  </si>
  <si>
    <t>2449677.590 </t>
  </si>
  <si>
    <t> 21.11.1994 02:09 </t>
  </si>
  <si>
    <t> 0.007 </t>
  </si>
  <si>
    <t> BBS 110 </t>
  </si>
  <si>
    <t>2450046.587 </t>
  </si>
  <si>
    <t> 25.11.1995 02:05 </t>
  </si>
  <si>
    <t> BBS 112 </t>
  </si>
  <si>
    <t>2450152.395 </t>
  </si>
  <si>
    <t> 09.03.1996 21:28 </t>
  </si>
  <si>
    <t> 0.010 </t>
  </si>
  <si>
    <t> J.Vandenbroere </t>
  </si>
  <si>
    <t>2450487.567 </t>
  </si>
  <si>
    <t> 08.02.1997 01:36 </t>
  </si>
  <si>
    <t> BBS 116 </t>
  </si>
  <si>
    <t>2451609.315 </t>
  </si>
  <si>
    <t> 05.03.2000 19:33 </t>
  </si>
  <si>
    <t> BBS 123 </t>
  </si>
  <si>
    <t>2451978.7504 </t>
  </si>
  <si>
    <t> 10.03.2001 06:00 </t>
  </si>
  <si>
    <t> 0.0054 </t>
  </si>
  <si>
    <t>C </t>
  </si>
  <si>
    <t>ns</t>
  </si>
  <si>
    <t> C.Hesseltine </t>
  </si>
  <si>
    <t>JAAVSO 36(2);171 </t>
  </si>
  <si>
    <t>2452311.7600 </t>
  </si>
  <si>
    <t> 06.02.2002 06:14 </t>
  </si>
  <si>
    <t> 0.0034 </t>
  </si>
  <si>
    <t> G.Samolyk </t>
  </si>
  <si>
    <t>2452616.589 </t>
  </si>
  <si>
    <t> 08.12.2002 02:08 </t>
  </si>
  <si>
    <t> BBS 129 </t>
  </si>
  <si>
    <t>2453393.6142 </t>
  </si>
  <si>
    <t> 23.01.2005 02:44 </t>
  </si>
  <si>
    <t>2453408.3559 </t>
  </si>
  <si>
    <t> 06.02.2005 20:32 </t>
  </si>
  <si>
    <t> 0.0026 </t>
  </si>
  <si>
    <t>-I</t>
  </si>
  <si>
    <t> Rätz </t>
  </si>
  <si>
    <t>BAVM 178 </t>
  </si>
  <si>
    <t>2453438.7097 </t>
  </si>
  <si>
    <t> 09.03.2005 05:01 </t>
  </si>
  <si>
    <t>-825.5</t>
  </si>
  <si>
    <t> 0.0038 </t>
  </si>
  <si>
    <t>2454043.593 </t>
  </si>
  <si>
    <t> 04.11.2006 02:13 </t>
  </si>
  <si>
    <t>-128</t>
  </si>
  <si>
    <t>o</t>
  </si>
  <si>
    <t>OEJV 0073 </t>
  </si>
  <si>
    <t>2454156.7652 </t>
  </si>
  <si>
    <t> 25.02.2007 06:21 </t>
  </si>
  <si>
    <t>2.5</t>
  </si>
  <si>
    <t> 0.0032 </t>
  </si>
  <si>
    <t> J.Bialozynski </t>
  </si>
  <si>
    <t>2454499.7505 </t>
  </si>
  <si>
    <t> 03.02.2008 06:00 </t>
  </si>
  <si>
    <t>398</t>
  </si>
  <si>
    <t> 0.0039 </t>
  </si>
  <si>
    <t>2454513.6249 </t>
  </si>
  <si>
    <t> 17.02.2008 02:59 </t>
  </si>
  <si>
    <t>414</t>
  </si>
  <si>
    <t> 0.0028 </t>
  </si>
  <si>
    <t> K.Menzies </t>
  </si>
  <si>
    <t>2454797.639 </t>
  </si>
  <si>
    <t> 27.11.2008 03:20 </t>
  </si>
  <si>
    <t>741.5</t>
  </si>
  <si>
    <t>OEJV 0116 </t>
  </si>
  <si>
    <t>2454841.4334 </t>
  </si>
  <si>
    <t> 09.01.2009 22:24 </t>
  </si>
  <si>
    <t>792</t>
  </si>
  <si>
    <t> 0.0031 </t>
  </si>
  <si>
    <t>R</t>
  </si>
  <si>
    <t> R.Ehrenberger </t>
  </si>
  <si>
    <t>OEJV 0107 </t>
  </si>
  <si>
    <t>2455191.7892 </t>
  </si>
  <si>
    <t> 26.12.2009 06:56 </t>
  </si>
  <si>
    <t>1196</t>
  </si>
  <si>
    <t> 0.0030 </t>
  </si>
  <si>
    <t> JAAVSO 38;120 </t>
  </si>
  <si>
    <t>2455238.6192 </t>
  </si>
  <si>
    <t> 11.02.2010 02:51 </t>
  </si>
  <si>
    <t>1250</t>
  </si>
  <si>
    <t>2455244.6903 </t>
  </si>
  <si>
    <t> 17.02.2010 04:34 </t>
  </si>
  <si>
    <t>1257</t>
  </si>
  <si>
    <t> R.Poklar </t>
  </si>
  <si>
    <t>2455577.7013 </t>
  </si>
  <si>
    <t> 16.01.2011 04:49 </t>
  </si>
  <si>
    <t>1641</t>
  </si>
  <si>
    <t> JAAVSO 39;177 </t>
  </si>
  <si>
    <t>2455599.3817 </t>
  </si>
  <si>
    <t> 06.02.2011 21:09 </t>
  </si>
  <si>
    <t>1666</t>
  </si>
  <si>
    <t> F.Agerer </t>
  </si>
  <si>
    <t>BAVM 215 </t>
  </si>
  <si>
    <t>2455616.7287 </t>
  </si>
  <si>
    <t> 24.02.2011 05:29 </t>
  </si>
  <si>
    <t>1686</t>
  </si>
  <si>
    <t> 0.0058 </t>
  </si>
  <si>
    <t> R.Diethelm </t>
  </si>
  <si>
    <t>IBVS 5992 </t>
  </si>
  <si>
    <t>2455969.6841 </t>
  </si>
  <si>
    <t> 12.02.2012 04:25 </t>
  </si>
  <si>
    <t>2093</t>
  </si>
  <si>
    <t> 0.0037 </t>
  </si>
  <si>
    <t> JAAVSO 41;122 </t>
  </si>
  <si>
    <t>2455982.6947 </t>
  </si>
  <si>
    <t> 25.02.2012 04:40 </t>
  </si>
  <si>
    <t>2108</t>
  </si>
  <si>
    <t> 0.0060 </t>
  </si>
  <si>
    <t>IBVS 6029 </t>
  </si>
  <si>
    <t>2456328.7129 </t>
  </si>
  <si>
    <t> 05.02.2013 05:06 </t>
  </si>
  <si>
    <t>2507</t>
  </si>
  <si>
    <t> 0.0044 </t>
  </si>
  <si>
    <t> JAAVSO 41;328 </t>
  </si>
  <si>
    <t>2456753.6495 </t>
  </si>
  <si>
    <t> 06.04.2014 03:35 </t>
  </si>
  <si>
    <t>2997</t>
  </si>
  <si>
    <t> JAAVSO 42;426 </t>
  </si>
  <si>
    <t>2457006.8760 </t>
  </si>
  <si>
    <t> 15.12.2014 09:01 </t>
  </si>
  <si>
    <t>3289</t>
  </si>
  <si>
    <t> 0.0033 </t>
  </si>
  <si>
    <t> JAAVSO 43-1 </t>
  </si>
  <si>
    <t>2457069.3172 </t>
  </si>
  <si>
    <t> 15.02.2015 19:36 </t>
  </si>
  <si>
    <t>3361</t>
  </si>
  <si>
    <t>BAVM 239 </t>
  </si>
  <si>
    <t>BAD?</t>
  </si>
  <si>
    <t>JAVSO 43, 77</t>
  </si>
  <si>
    <t>JAVSO..44..164</t>
  </si>
  <si>
    <t>JAVSO..44…69</t>
  </si>
  <si>
    <t>JAVSO..45..121</t>
  </si>
  <si>
    <t>JAVSO..45..215</t>
  </si>
  <si>
    <t>JAVSO..46…79 (2018)</t>
  </si>
  <si>
    <t>Rc</t>
  </si>
  <si>
    <t>JAVSO..46..184</t>
  </si>
  <si>
    <t>JAVSO..48…87</t>
  </si>
  <si>
    <t>JAVSO..48..256</t>
  </si>
  <si>
    <t>JAVSO 49, 108</t>
  </si>
  <si>
    <t>JAVSO 49, 256</t>
  </si>
  <si>
    <t>JBAV, 63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</si>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</sst>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7" applyAlignment="1" applyProtection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22" fontId="11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0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6" fontId="22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4" xfId="0" applyFont="1" applyBorder="1" applyAlignment="1">
      <alignment horizontal="left"/>
    </xf>
    <xf numFmtId="0" fontId="5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right"/>
    </xf>
    <xf numFmtId="0" fontId="5" fillId="0" borderId="0" xfId="8" applyFont="1" applyAlignment="1">
      <alignment horizontal="right"/>
    </xf>
    <xf numFmtId="0" fontId="21" fillId="0" borderId="0" xfId="8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723926380368099"/>
          <c:w val="0.776146788990825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E-4120-A02D-0BD8F62ACD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4">
                  <c:v>-7.2378417215077206E-2</c:v>
                </c:pt>
                <c:pt idx="15">
                  <c:v>-6.986763457825873E-2</c:v>
                </c:pt>
                <c:pt idx="16">
                  <c:v>-5.9390181311755441E-2</c:v>
                </c:pt>
                <c:pt idx="17">
                  <c:v>-7.2390800472931005E-2</c:v>
                </c:pt>
                <c:pt idx="19">
                  <c:v>-7.5364901051216293E-2</c:v>
                </c:pt>
                <c:pt idx="22">
                  <c:v>-7.4424544851353858E-2</c:v>
                </c:pt>
                <c:pt idx="23">
                  <c:v>-7.7685818214376923E-2</c:v>
                </c:pt>
                <c:pt idx="24">
                  <c:v>-7.0672302048478741E-2</c:v>
                </c:pt>
                <c:pt idx="25">
                  <c:v>-7.4683756552985869E-2</c:v>
                </c:pt>
                <c:pt idx="26">
                  <c:v>-6.7208779946668074E-2</c:v>
                </c:pt>
                <c:pt idx="27">
                  <c:v>-7.4740923701028805E-2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E-4120-A02D-0BD8F62ACD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-9.8716025109752081E-2</c:v>
                </c:pt>
                <c:pt idx="1">
                  <c:v>-4.9999999999272404E-2</c:v>
                </c:pt>
                <c:pt idx="3">
                  <c:v>-7.7022082361509092E-2</c:v>
                </c:pt>
                <c:pt idx="4">
                  <c:v>-2.0762047322932631E-2</c:v>
                </c:pt>
                <c:pt idx="5">
                  <c:v>-3.602301110731787E-2</c:v>
                </c:pt>
                <c:pt idx="6">
                  <c:v>-1.728459405421745E-2</c:v>
                </c:pt>
                <c:pt idx="28">
                  <c:v>-7.2471397048502695E-2</c:v>
                </c:pt>
                <c:pt idx="31">
                  <c:v>-7.1502664774016012E-2</c:v>
                </c:pt>
                <c:pt idx="33">
                  <c:v>-7.4105503714235965E-2</c:v>
                </c:pt>
                <c:pt idx="36">
                  <c:v>-7.3764353139267769E-2</c:v>
                </c:pt>
                <c:pt idx="41">
                  <c:v>-7.3389119650528301E-2</c:v>
                </c:pt>
                <c:pt idx="47">
                  <c:v>-7.3112647834932432E-2</c:v>
                </c:pt>
                <c:pt idx="48">
                  <c:v>-7.0461012328451034E-2</c:v>
                </c:pt>
                <c:pt idx="50">
                  <c:v>-7.0211503050813917E-2</c:v>
                </c:pt>
                <c:pt idx="53">
                  <c:v>-7.268242615100462E-2</c:v>
                </c:pt>
                <c:pt idx="55">
                  <c:v>-7.1136538310383912E-2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E-4120-A02D-0BD8F62ACD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4">
                  <c:v>-7.268242615100462E-2</c:v>
                </c:pt>
                <c:pt idx="56">
                  <c:v>-7.1168103742820676E-2</c:v>
                </c:pt>
                <c:pt idx="57">
                  <c:v>-7.2159972951340023E-2</c:v>
                </c:pt>
                <c:pt idx="58">
                  <c:v>-7.2534774357336573E-2</c:v>
                </c:pt>
                <c:pt idx="59">
                  <c:v>-7.2496047730965074E-2</c:v>
                </c:pt>
                <c:pt idx="60">
                  <c:v>-7.2682169273321051E-2</c:v>
                </c:pt>
                <c:pt idx="61">
                  <c:v>-7.3022753400437068E-2</c:v>
                </c:pt>
                <c:pt idx="62">
                  <c:v>-7.2823991722543724E-2</c:v>
                </c:pt>
                <c:pt idx="63">
                  <c:v>-7.1946538460906595E-2</c:v>
                </c:pt>
                <c:pt idx="64">
                  <c:v>-7.2954587572894525E-2</c:v>
                </c:pt>
                <c:pt idx="65">
                  <c:v>-7.2935136653541122E-2</c:v>
                </c:pt>
                <c:pt idx="66">
                  <c:v>-7.1319575916277245E-2</c:v>
                </c:pt>
                <c:pt idx="67">
                  <c:v>-7.302762503240956E-2</c:v>
                </c:pt>
                <c:pt idx="68">
                  <c:v>-7.1816223229689058E-2</c:v>
                </c:pt>
                <c:pt idx="69">
                  <c:v>-7.2658045675780158E-2</c:v>
                </c:pt>
                <c:pt idx="70">
                  <c:v>-7.2319938204600476E-2</c:v>
                </c:pt>
                <c:pt idx="71">
                  <c:v>-7.1566713952051941E-2</c:v>
                </c:pt>
                <c:pt idx="72">
                  <c:v>-7.0867952279513702E-2</c:v>
                </c:pt>
                <c:pt idx="73">
                  <c:v>-7.3390148601902183E-2</c:v>
                </c:pt>
                <c:pt idx="74">
                  <c:v>-7.1478478050266858E-2</c:v>
                </c:pt>
                <c:pt idx="75">
                  <c:v>-7.2972648711584043E-2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E-4120-A02D-0BD8F62ACD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E-4120-A02D-0BD8F62ACD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E-4120-A02D-0BD8F62ACD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0">
                  <c:v>-7.3432073542790022E-2</c:v>
                </c:pt>
                <c:pt idx="11">
                  <c:v>-7.3980397202831227E-2</c:v>
                </c:pt>
                <c:pt idx="12">
                  <c:v>-7.4741360986081418E-2</c:v>
                </c:pt>
                <c:pt idx="13">
                  <c:v>-7.4658779216406401E-2</c:v>
                </c:pt>
                <c:pt idx="18">
                  <c:v>-7.5879398667893838E-2</c:v>
                </c:pt>
                <c:pt idx="20">
                  <c:v>-7.2672196627536323E-2</c:v>
                </c:pt>
                <c:pt idx="21">
                  <c:v>-7.6901378946786281E-2</c:v>
                </c:pt>
                <c:pt idx="29">
                  <c:v>-7.1691560682666022E-2</c:v>
                </c:pt>
                <c:pt idx="30">
                  <c:v>-7.3580158867116552E-2</c:v>
                </c:pt>
                <c:pt idx="32">
                  <c:v>-7.3109393888444174E-2</c:v>
                </c:pt>
                <c:pt idx="34">
                  <c:v>-7.2915141565317754E-2</c:v>
                </c:pt>
                <c:pt idx="35">
                  <c:v>-7.3764353262959048E-2</c:v>
                </c:pt>
                <c:pt idx="37">
                  <c:v>-7.3437431427009869E-2</c:v>
                </c:pt>
                <c:pt idx="38">
                  <c:v>-7.2626339206181001E-2</c:v>
                </c:pt>
                <c:pt idx="39">
                  <c:v>-7.3705030801647808E-2</c:v>
                </c:pt>
                <c:pt idx="40">
                  <c:v>-7.3309499312017579E-2</c:v>
                </c:pt>
                <c:pt idx="42">
                  <c:v>-7.3299119649163913E-2</c:v>
                </c:pt>
                <c:pt idx="43">
                  <c:v>-7.3426082337391563E-2</c:v>
                </c:pt>
                <c:pt idx="44">
                  <c:v>-7.3166666450561024E-2</c:v>
                </c:pt>
                <c:pt idx="45">
                  <c:v>-7.2588594026456121E-2</c:v>
                </c:pt>
                <c:pt idx="46">
                  <c:v>-7.3077192224445753E-2</c:v>
                </c:pt>
                <c:pt idx="49">
                  <c:v>-7.2550229684566148E-2</c:v>
                </c:pt>
                <c:pt idx="51">
                  <c:v>-7.1761374616471585E-2</c:v>
                </c:pt>
                <c:pt idx="52">
                  <c:v>-7.1696304599754512E-2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E-4120-A02D-0BD8F62ACD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-6.6337256490936788E-2</c:v>
                </c:pt>
                <c:pt idx="1">
                  <c:v>-6.6346935231424556E-2</c:v>
                </c:pt>
                <c:pt idx="2">
                  <c:v>-6.6346935231424556E-2</c:v>
                </c:pt>
                <c:pt idx="3">
                  <c:v>-6.6349366836177648E-2</c:v>
                </c:pt>
                <c:pt idx="4">
                  <c:v>-6.6355278973224366E-2</c:v>
                </c:pt>
                <c:pt idx="5">
                  <c:v>-6.6355946472568345E-2</c:v>
                </c:pt>
                <c:pt idx="6">
                  <c:v>-6.6361000396172792E-2</c:v>
                </c:pt>
                <c:pt idx="7">
                  <c:v>-6.9307437857568863E-2</c:v>
                </c:pt>
                <c:pt idx="8">
                  <c:v>-6.9316019991991509E-2</c:v>
                </c:pt>
                <c:pt idx="9">
                  <c:v>-6.9336474079032179E-2</c:v>
                </c:pt>
                <c:pt idx="10">
                  <c:v>-6.9561945821725174E-2</c:v>
                </c:pt>
                <c:pt idx="11">
                  <c:v>-6.9627074686288218E-2</c:v>
                </c:pt>
                <c:pt idx="12">
                  <c:v>-6.962774218563221E-2</c:v>
                </c:pt>
                <c:pt idx="13">
                  <c:v>-6.9627932899730488E-2</c:v>
                </c:pt>
                <c:pt idx="14">
                  <c:v>-6.9797859161299075E-2</c:v>
                </c:pt>
                <c:pt idx="15">
                  <c:v>-6.9875479799299547E-2</c:v>
                </c:pt>
                <c:pt idx="16">
                  <c:v>-6.9881201222247974E-2</c:v>
                </c:pt>
                <c:pt idx="17">
                  <c:v>-6.9885587646508443E-2</c:v>
                </c:pt>
                <c:pt idx="18">
                  <c:v>-6.9958821860248446E-2</c:v>
                </c:pt>
                <c:pt idx="19">
                  <c:v>-7.0010123952686104E-2</c:v>
                </c:pt>
                <c:pt idx="20">
                  <c:v>-7.0031007146447902E-2</c:v>
                </c:pt>
                <c:pt idx="21">
                  <c:v>-7.0114539921495078E-2</c:v>
                </c:pt>
                <c:pt idx="22">
                  <c:v>-7.0124647768703988E-2</c:v>
                </c:pt>
                <c:pt idx="23">
                  <c:v>-7.0127508480178208E-2</c:v>
                </c:pt>
                <c:pt idx="24">
                  <c:v>-7.0339773271565223E-2</c:v>
                </c:pt>
                <c:pt idx="25">
                  <c:v>-7.0420922120383894E-2</c:v>
                </c:pt>
                <c:pt idx="26">
                  <c:v>-7.0444189240374211E-2</c:v>
                </c:pt>
                <c:pt idx="27">
                  <c:v>-7.0517900239359915E-2</c:v>
                </c:pt>
                <c:pt idx="28">
                  <c:v>-7.0764588925486691E-2</c:v>
                </c:pt>
                <c:pt idx="29">
                  <c:v>-7.0845833131354508E-2</c:v>
                </c:pt>
                <c:pt idx="30">
                  <c:v>-7.0919067345094497E-2</c:v>
                </c:pt>
                <c:pt idx="31">
                  <c:v>-7.0986103350640359E-2</c:v>
                </c:pt>
                <c:pt idx="32">
                  <c:v>-7.1156983182700348E-2</c:v>
                </c:pt>
                <c:pt idx="33">
                  <c:v>-7.1160225322371137E-2</c:v>
                </c:pt>
                <c:pt idx="34">
                  <c:v>-7.116690031581098E-2</c:v>
                </c:pt>
                <c:pt idx="35">
                  <c:v>-7.1299923399362142E-2</c:v>
                </c:pt>
                <c:pt idx="36">
                  <c:v>-7.1299923399362142E-2</c:v>
                </c:pt>
                <c:pt idx="37">
                  <c:v>-7.1324811589187853E-2</c:v>
                </c:pt>
                <c:pt idx="38">
                  <c:v>-7.1400239015058084E-2</c:v>
                </c:pt>
                <c:pt idx="39">
                  <c:v>-7.1403290440630582E-2</c:v>
                </c:pt>
                <c:pt idx="40">
                  <c:v>-7.1465749307817683E-2</c:v>
                </c:pt>
                <c:pt idx="41">
                  <c:v>-7.1475380369780891E-2</c:v>
                </c:pt>
                <c:pt idx="42">
                  <c:v>-7.1475380369780891E-2</c:v>
                </c:pt>
                <c:pt idx="43">
                  <c:v>-7.1552428865486517E-2</c:v>
                </c:pt>
                <c:pt idx="44">
                  <c:v>-7.1562727426793704E-2</c:v>
                </c:pt>
                <c:pt idx="45">
                  <c:v>-7.1564062425481662E-2</c:v>
                </c:pt>
                <c:pt idx="46">
                  <c:v>-7.1637296639221665E-2</c:v>
                </c:pt>
                <c:pt idx="47">
                  <c:v>-7.1642064491678689E-2</c:v>
                </c:pt>
                <c:pt idx="48">
                  <c:v>-7.1645878773644325E-2</c:v>
                </c:pt>
                <c:pt idx="49">
                  <c:v>-7.1723499411644784E-2</c:v>
                </c:pt>
                <c:pt idx="50">
                  <c:v>-7.1726360123119004E-2</c:v>
                </c:pt>
                <c:pt idx="51">
                  <c:v>-7.1802455048333214E-2</c:v>
                </c:pt>
                <c:pt idx="52">
                  <c:v>-7.1895904956491036E-2</c:v>
                </c:pt>
                <c:pt idx="53">
                  <c:v>-7.1951593473189149E-2</c:v>
                </c:pt>
                <c:pt idx="54">
                  <c:v>-7.1951593473189149E-2</c:v>
                </c:pt>
                <c:pt idx="55">
                  <c:v>-7.1965324888265403E-2</c:v>
                </c:pt>
                <c:pt idx="56">
                  <c:v>-7.1973334880393217E-2</c:v>
                </c:pt>
                <c:pt idx="57">
                  <c:v>-7.2038940530201961E-2</c:v>
                </c:pt>
                <c:pt idx="58">
                  <c:v>-7.2045234095445249E-2</c:v>
                </c:pt>
                <c:pt idx="59">
                  <c:v>-7.2048094806919455E-2</c:v>
                </c:pt>
                <c:pt idx="60">
                  <c:v>-7.2103783323617582E-2</c:v>
                </c:pt>
                <c:pt idx="61">
                  <c:v>-7.2114081884924769E-2</c:v>
                </c:pt>
                <c:pt idx="62">
                  <c:v>-7.2122854733445707E-2</c:v>
                </c:pt>
                <c:pt idx="63">
                  <c:v>-7.2128576156394147E-2</c:v>
                </c:pt>
                <c:pt idx="64">
                  <c:v>-7.2185599671780232E-2</c:v>
                </c:pt>
                <c:pt idx="65">
                  <c:v>-7.2201810370134137E-2</c:v>
                </c:pt>
                <c:pt idx="66">
                  <c:v>-7.2214778928817266E-2</c:v>
                </c:pt>
                <c:pt idx="67">
                  <c:v>-7.2271802444203365E-2</c:v>
                </c:pt>
                <c:pt idx="68">
                  <c:v>-7.2345036657943354E-2</c:v>
                </c:pt>
                <c:pt idx="69">
                  <c:v>-7.2364108067771479E-2</c:v>
                </c:pt>
                <c:pt idx="70">
                  <c:v>-7.2371355203506169E-2</c:v>
                </c:pt>
                <c:pt idx="71">
                  <c:v>-7.2425518007418047E-2</c:v>
                </c:pt>
                <c:pt idx="72">
                  <c:v>-7.2434290855938985E-2</c:v>
                </c:pt>
                <c:pt idx="73">
                  <c:v>-7.2499133649354605E-2</c:v>
                </c:pt>
                <c:pt idx="74">
                  <c:v>-7.2508860068366945E-2</c:v>
                </c:pt>
                <c:pt idx="75">
                  <c:v>-7.2621572100451157E-2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E-4120-A02D-0BD8F62ACD3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7">
                  <c:v>2.1212547006143723E-2</c:v>
                </c:pt>
                <c:pt idx="8">
                  <c:v>-9.1571273100271355E-2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E-4120-A02D-0BD8F62A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6160"/>
        <c:axId val="1"/>
      </c:scatterChart>
      <c:valAx>
        <c:axId val="425946160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0366972477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77981651376152E-2"/>
          <c:y val="0.92024539877300615"/>
          <c:w val="0.899082568807339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0806437656831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2-48A3-A51B-1267812CD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4">
                  <c:v>-7.2378417215077206E-2</c:v>
                </c:pt>
                <c:pt idx="15">
                  <c:v>-6.986763457825873E-2</c:v>
                </c:pt>
                <c:pt idx="16">
                  <c:v>-5.9390181311755441E-2</c:v>
                </c:pt>
                <c:pt idx="17">
                  <c:v>-7.2390800472931005E-2</c:v>
                </c:pt>
                <c:pt idx="19">
                  <c:v>-7.5364901051216293E-2</c:v>
                </c:pt>
                <c:pt idx="22">
                  <c:v>-7.4424544851353858E-2</c:v>
                </c:pt>
                <c:pt idx="23">
                  <c:v>-7.7685818214376923E-2</c:v>
                </c:pt>
                <c:pt idx="24">
                  <c:v>-7.0672302048478741E-2</c:v>
                </c:pt>
                <c:pt idx="25">
                  <c:v>-7.4683756552985869E-2</c:v>
                </c:pt>
                <c:pt idx="26">
                  <c:v>-6.7208779946668074E-2</c:v>
                </c:pt>
                <c:pt idx="27">
                  <c:v>-7.4740923701028805E-2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2-48A3-A51B-1267812CD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-9.8716025109752081E-2</c:v>
                </c:pt>
                <c:pt idx="1">
                  <c:v>-4.9999999999272404E-2</c:v>
                </c:pt>
                <c:pt idx="3">
                  <c:v>-7.7022082361509092E-2</c:v>
                </c:pt>
                <c:pt idx="4">
                  <c:v>-2.0762047322932631E-2</c:v>
                </c:pt>
                <c:pt idx="5">
                  <c:v>-3.602301110731787E-2</c:v>
                </c:pt>
                <c:pt idx="6">
                  <c:v>-1.728459405421745E-2</c:v>
                </c:pt>
                <c:pt idx="28">
                  <c:v>-7.2471397048502695E-2</c:v>
                </c:pt>
                <c:pt idx="31">
                  <c:v>-7.1502664774016012E-2</c:v>
                </c:pt>
                <c:pt idx="33">
                  <c:v>-7.4105503714235965E-2</c:v>
                </c:pt>
                <c:pt idx="36">
                  <c:v>-7.3764353139267769E-2</c:v>
                </c:pt>
                <c:pt idx="41">
                  <c:v>-7.3389119650528301E-2</c:v>
                </c:pt>
                <c:pt idx="47">
                  <c:v>-7.3112647834932432E-2</c:v>
                </c:pt>
                <c:pt idx="48">
                  <c:v>-7.0461012328451034E-2</c:v>
                </c:pt>
                <c:pt idx="50">
                  <c:v>-7.0211503050813917E-2</c:v>
                </c:pt>
                <c:pt idx="53">
                  <c:v>-7.268242615100462E-2</c:v>
                </c:pt>
                <c:pt idx="55">
                  <c:v>-7.1136538310383912E-2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2-48A3-A51B-1267812CD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4">
                  <c:v>-7.268242615100462E-2</c:v>
                </c:pt>
                <c:pt idx="56">
                  <c:v>-7.1168103742820676E-2</c:v>
                </c:pt>
                <c:pt idx="57">
                  <c:v>-7.2159972951340023E-2</c:v>
                </c:pt>
                <c:pt idx="58">
                  <c:v>-7.2534774357336573E-2</c:v>
                </c:pt>
                <c:pt idx="59">
                  <c:v>-7.2496047730965074E-2</c:v>
                </c:pt>
                <c:pt idx="60">
                  <c:v>-7.2682169273321051E-2</c:v>
                </c:pt>
                <c:pt idx="61">
                  <c:v>-7.3022753400437068E-2</c:v>
                </c:pt>
                <c:pt idx="62">
                  <c:v>-7.2823991722543724E-2</c:v>
                </c:pt>
                <c:pt idx="63">
                  <c:v>-7.1946538460906595E-2</c:v>
                </c:pt>
                <c:pt idx="64">
                  <c:v>-7.2954587572894525E-2</c:v>
                </c:pt>
                <c:pt idx="65">
                  <c:v>-7.2935136653541122E-2</c:v>
                </c:pt>
                <c:pt idx="66">
                  <c:v>-7.1319575916277245E-2</c:v>
                </c:pt>
                <c:pt idx="67">
                  <c:v>-7.302762503240956E-2</c:v>
                </c:pt>
                <c:pt idx="68">
                  <c:v>-7.1816223229689058E-2</c:v>
                </c:pt>
                <c:pt idx="69">
                  <c:v>-7.2658045675780158E-2</c:v>
                </c:pt>
                <c:pt idx="70">
                  <c:v>-7.2319938204600476E-2</c:v>
                </c:pt>
                <c:pt idx="71">
                  <c:v>-7.1566713952051941E-2</c:v>
                </c:pt>
                <c:pt idx="72">
                  <c:v>-7.0867952279513702E-2</c:v>
                </c:pt>
                <c:pt idx="73">
                  <c:v>-7.3390148601902183E-2</c:v>
                </c:pt>
                <c:pt idx="74">
                  <c:v>-7.1478478050266858E-2</c:v>
                </c:pt>
                <c:pt idx="75">
                  <c:v>-7.2972648711584043E-2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2-48A3-A51B-1267812CD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2-48A3-A51B-1267812CD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2-48A3-A51B-1267812CD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3.0000000000000001E-3</c:v>
                  </c:pt>
                  <c:pt idx="22">
                    <c:v>4.0000000000000001E-3</c:v>
                  </c:pt>
                  <c:pt idx="23">
                    <c:v>3.0000000000000001E-3</c:v>
                  </c:pt>
                  <c:pt idx="24">
                    <c:v>5.0000000000000001E-3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4.0000000000000001E-3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5.0000000000000001E-3</c:v>
                  </c:pt>
                  <c:pt idx="32">
                    <c:v>8.0000000000000004E-4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3.0000000000000001E-3</c:v>
                  </c:pt>
                  <c:pt idx="41">
                    <c:v>0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1.1000000000000001E-3</c:v>
                  </c:pt>
                  <c:pt idx="48">
                    <c:v>1.8E-3</c:v>
                  </c:pt>
                  <c:pt idx="49">
                    <c:v>2.0000000000000001E-4</c:v>
                  </c:pt>
                  <c:pt idx="50">
                    <c:v>5.0000000000000001E-4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2.5000000000000001E-3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0">
                  <c:v>-7.3432073542790022E-2</c:v>
                </c:pt>
                <c:pt idx="11">
                  <c:v>-7.3980397202831227E-2</c:v>
                </c:pt>
                <c:pt idx="12">
                  <c:v>-7.4741360986081418E-2</c:v>
                </c:pt>
                <c:pt idx="13">
                  <c:v>-7.4658779216406401E-2</c:v>
                </c:pt>
                <c:pt idx="18">
                  <c:v>-7.5879398667893838E-2</c:v>
                </c:pt>
                <c:pt idx="20">
                  <c:v>-7.2672196627536323E-2</c:v>
                </c:pt>
                <c:pt idx="21">
                  <c:v>-7.6901378946786281E-2</c:v>
                </c:pt>
                <c:pt idx="29">
                  <c:v>-7.1691560682666022E-2</c:v>
                </c:pt>
                <c:pt idx="30">
                  <c:v>-7.3580158867116552E-2</c:v>
                </c:pt>
                <c:pt idx="32">
                  <c:v>-7.3109393888444174E-2</c:v>
                </c:pt>
                <c:pt idx="34">
                  <c:v>-7.2915141565317754E-2</c:v>
                </c:pt>
                <c:pt idx="35">
                  <c:v>-7.3764353262959048E-2</c:v>
                </c:pt>
                <c:pt idx="37">
                  <c:v>-7.3437431427009869E-2</c:v>
                </c:pt>
                <c:pt idx="38">
                  <c:v>-7.2626339206181001E-2</c:v>
                </c:pt>
                <c:pt idx="39">
                  <c:v>-7.3705030801647808E-2</c:v>
                </c:pt>
                <c:pt idx="40">
                  <c:v>-7.3309499312017579E-2</c:v>
                </c:pt>
                <c:pt idx="42">
                  <c:v>-7.3299119649163913E-2</c:v>
                </c:pt>
                <c:pt idx="43">
                  <c:v>-7.3426082337391563E-2</c:v>
                </c:pt>
                <c:pt idx="44">
                  <c:v>-7.3166666450561024E-2</c:v>
                </c:pt>
                <c:pt idx="45">
                  <c:v>-7.2588594026456121E-2</c:v>
                </c:pt>
                <c:pt idx="46">
                  <c:v>-7.3077192224445753E-2</c:v>
                </c:pt>
                <c:pt idx="49">
                  <c:v>-7.2550229684566148E-2</c:v>
                </c:pt>
                <c:pt idx="51">
                  <c:v>-7.1761374616471585E-2</c:v>
                </c:pt>
                <c:pt idx="52">
                  <c:v>-7.1696304599754512E-2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2-48A3-A51B-1267812CD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-6.6337256490936788E-2</c:v>
                </c:pt>
                <c:pt idx="1">
                  <c:v>-6.6346935231424556E-2</c:v>
                </c:pt>
                <c:pt idx="2">
                  <c:v>-6.6346935231424556E-2</c:v>
                </c:pt>
                <c:pt idx="3">
                  <c:v>-6.6349366836177648E-2</c:v>
                </c:pt>
                <c:pt idx="4">
                  <c:v>-6.6355278973224366E-2</c:v>
                </c:pt>
                <c:pt idx="5">
                  <c:v>-6.6355946472568345E-2</c:v>
                </c:pt>
                <c:pt idx="6">
                  <c:v>-6.6361000396172792E-2</c:v>
                </c:pt>
                <c:pt idx="7">
                  <c:v>-6.9307437857568863E-2</c:v>
                </c:pt>
                <c:pt idx="8">
                  <c:v>-6.9316019991991509E-2</c:v>
                </c:pt>
                <c:pt idx="9">
                  <c:v>-6.9336474079032179E-2</c:v>
                </c:pt>
                <c:pt idx="10">
                  <c:v>-6.9561945821725174E-2</c:v>
                </c:pt>
                <c:pt idx="11">
                  <c:v>-6.9627074686288218E-2</c:v>
                </c:pt>
                <c:pt idx="12">
                  <c:v>-6.962774218563221E-2</c:v>
                </c:pt>
                <c:pt idx="13">
                  <c:v>-6.9627932899730488E-2</c:v>
                </c:pt>
                <c:pt idx="14">
                  <c:v>-6.9797859161299075E-2</c:v>
                </c:pt>
                <c:pt idx="15">
                  <c:v>-6.9875479799299547E-2</c:v>
                </c:pt>
                <c:pt idx="16">
                  <c:v>-6.9881201222247974E-2</c:v>
                </c:pt>
                <c:pt idx="17">
                  <c:v>-6.9885587646508443E-2</c:v>
                </c:pt>
                <c:pt idx="18">
                  <c:v>-6.9958821860248446E-2</c:v>
                </c:pt>
                <c:pt idx="19">
                  <c:v>-7.0010123952686104E-2</c:v>
                </c:pt>
                <c:pt idx="20">
                  <c:v>-7.0031007146447902E-2</c:v>
                </c:pt>
                <c:pt idx="21">
                  <c:v>-7.0114539921495078E-2</c:v>
                </c:pt>
                <c:pt idx="22">
                  <c:v>-7.0124647768703988E-2</c:v>
                </c:pt>
                <c:pt idx="23">
                  <c:v>-7.0127508480178208E-2</c:v>
                </c:pt>
                <c:pt idx="24">
                  <c:v>-7.0339773271565223E-2</c:v>
                </c:pt>
                <c:pt idx="25">
                  <c:v>-7.0420922120383894E-2</c:v>
                </c:pt>
                <c:pt idx="26">
                  <c:v>-7.0444189240374211E-2</c:v>
                </c:pt>
                <c:pt idx="27">
                  <c:v>-7.0517900239359915E-2</c:v>
                </c:pt>
                <c:pt idx="28">
                  <c:v>-7.0764588925486691E-2</c:v>
                </c:pt>
                <c:pt idx="29">
                  <c:v>-7.0845833131354508E-2</c:v>
                </c:pt>
                <c:pt idx="30">
                  <c:v>-7.0919067345094497E-2</c:v>
                </c:pt>
                <c:pt idx="31">
                  <c:v>-7.0986103350640359E-2</c:v>
                </c:pt>
                <c:pt idx="32">
                  <c:v>-7.1156983182700348E-2</c:v>
                </c:pt>
                <c:pt idx="33">
                  <c:v>-7.1160225322371137E-2</c:v>
                </c:pt>
                <c:pt idx="34">
                  <c:v>-7.116690031581098E-2</c:v>
                </c:pt>
                <c:pt idx="35">
                  <c:v>-7.1299923399362142E-2</c:v>
                </c:pt>
                <c:pt idx="36">
                  <c:v>-7.1299923399362142E-2</c:v>
                </c:pt>
                <c:pt idx="37">
                  <c:v>-7.1324811589187853E-2</c:v>
                </c:pt>
                <c:pt idx="38">
                  <c:v>-7.1400239015058084E-2</c:v>
                </c:pt>
                <c:pt idx="39">
                  <c:v>-7.1403290440630582E-2</c:v>
                </c:pt>
                <c:pt idx="40">
                  <c:v>-7.1465749307817683E-2</c:v>
                </c:pt>
                <c:pt idx="41">
                  <c:v>-7.1475380369780891E-2</c:v>
                </c:pt>
                <c:pt idx="42">
                  <c:v>-7.1475380369780891E-2</c:v>
                </c:pt>
                <c:pt idx="43">
                  <c:v>-7.1552428865486517E-2</c:v>
                </c:pt>
                <c:pt idx="44">
                  <c:v>-7.1562727426793704E-2</c:v>
                </c:pt>
                <c:pt idx="45">
                  <c:v>-7.1564062425481662E-2</c:v>
                </c:pt>
                <c:pt idx="46">
                  <c:v>-7.1637296639221665E-2</c:v>
                </c:pt>
                <c:pt idx="47">
                  <c:v>-7.1642064491678689E-2</c:v>
                </c:pt>
                <c:pt idx="48">
                  <c:v>-7.1645878773644325E-2</c:v>
                </c:pt>
                <c:pt idx="49">
                  <c:v>-7.1723499411644784E-2</c:v>
                </c:pt>
                <c:pt idx="50">
                  <c:v>-7.1726360123119004E-2</c:v>
                </c:pt>
                <c:pt idx="51">
                  <c:v>-7.1802455048333214E-2</c:v>
                </c:pt>
                <c:pt idx="52">
                  <c:v>-7.1895904956491036E-2</c:v>
                </c:pt>
                <c:pt idx="53">
                  <c:v>-7.1951593473189149E-2</c:v>
                </c:pt>
                <c:pt idx="54">
                  <c:v>-7.1951593473189149E-2</c:v>
                </c:pt>
                <c:pt idx="55">
                  <c:v>-7.1965324888265403E-2</c:v>
                </c:pt>
                <c:pt idx="56">
                  <c:v>-7.1973334880393217E-2</c:v>
                </c:pt>
                <c:pt idx="57">
                  <c:v>-7.2038940530201961E-2</c:v>
                </c:pt>
                <c:pt idx="58">
                  <c:v>-7.2045234095445249E-2</c:v>
                </c:pt>
                <c:pt idx="59">
                  <c:v>-7.2048094806919455E-2</c:v>
                </c:pt>
                <c:pt idx="60">
                  <c:v>-7.2103783323617582E-2</c:v>
                </c:pt>
                <c:pt idx="61">
                  <c:v>-7.2114081884924769E-2</c:v>
                </c:pt>
                <c:pt idx="62">
                  <c:v>-7.2122854733445707E-2</c:v>
                </c:pt>
                <c:pt idx="63">
                  <c:v>-7.2128576156394147E-2</c:v>
                </c:pt>
                <c:pt idx="64">
                  <c:v>-7.2185599671780232E-2</c:v>
                </c:pt>
                <c:pt idx="65">
                  <c:v>-7.2201810370134137E-2</c:v>
                </c:pt>
                <c:pt idx="66">
                  <c:v>-7.2214778928817266E-2</c:v>
                </c:pt>
                <c:pt idx="67">
                  <c:v>-7.2271802444203365E-2</c:v>
                </c:pt>
                <c:pt idx="68">
                  <c:v>-7.2345036657943354E-2</c:v>
                </c:pt>
                <c:pt idx="69">
                  <c:v>-7.2364108067771479E-2</c:v>
                </c:pt>
                <c:pt idx="70">
                  <c:v>-7.2371355203506169E-2</c:v>
                </c:pt>
                <c:pt idx="71">
                  <c:v>-7.2425518007418047E-2</c:v>
                </c:pt>
                <c:pt idx="72">
                  <c:v>-7.2434290855938985E-2</c:v>
                </c:pt>
                <c:pt idx="73">
                  <c:v>-7.2499133649354605E-2</c:v>
                </c:pt>
                <c:pt idx="74">
                  <c:v>-7.2508860068366945E-2</c:v>
                </c:pt>
                <c:pt idx="75">
                  <c:v>-7.2621572100451157E-2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F2-48A3-A51B-1267812CDBD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-101.5</c:v>
                </c:pt>
                <c:pt idx="1">
                  <c:v>0</c:v>
                </c:pt>
                <c:pt idx="2">
                  <c:v>0</c:v>
                </c:pt>
                <c:pt idx="3">
                  <c:v>25.5</c:v>
                </c:pt>
                <c:pt idx="4">
                  <c:v>87.5</c:v>
                </c:pt>
                <c:pt idx="5">
                  <c:v>94.5</c:v>
                </c:pt>
                <c:pt idx="6">
                  <c:v>147.5</c:v>
                </c:pt>
                <c:pt idx="7">
                  <c:v>31046.5</c:v>
                </c:pt>
                <c:pt idx="8">
                  <c:v>31136.5</c:v>
                </c:pt>
                <c:pt idx="9">
                  <c:v>31351</c:v>
                </c:pt>
                <c:pt idx="10">
                  <c:v>33715.5</c:v>
                </c:pt>
                <c:pt idx="11">
                  <c:v>34398.5</c:v>
                </c:pt>
                <c:pt idx="12">
                  <c:v>34405.5</c:v>
                </c:pt>
                <c:pt idx="13">
                  <c:v>34407.5</c:v>
                </c:pt>
                <c:pt idx="14">
                  <c:v>36189.5</c:v>
                </c:pt>
                <c:pt idx="15">
                  <c:v>37003.5</c:v>
                </c:pt>
                <c:pt idx="16">
                  <c:v>37063.5</c:v>
                </c:pt>
                <c:pt idx="17">
                  <c:v>37109.5</c:v>
                </c:pt>
                <c:pt idx="18">
                  <c:v>37877.5</c:v>
                </c:pt>
                <c:pt idx="19">
                  <c:v>38415.5</c:v>
                </c:pt>
                <c:pt idx="20">
                  <c:v>38634.5</c:v>
                </c:pt>
                <c:pt idx="21">
                  <c:v>39510.5</c:v>
                </c:pt>
                <c:pt idx="22">
                  <c:v>39616.5</c:v>
                </c:pt>
                <c:pt idx="23">
                  <c:v>39646.5</c:v>
                </c:pt>
                <c:pt idx="24">
                  <c:v>41872.5</c:v>
                </c:pt>
                <c:pt idx="25">
                  <c:v>42723.5</c:v>
                </c:pt>
                <c:pt idx="26">
                  <c:v>42967.5</c:v>
                </c:pt>
                <c:pt idx="27">
                  <c:v>43740.5</c:v>
                </c:pt>
                <c:pt idx="28">
                  <c:v>46327.5</c:v>
                </c:pt>
                <c:pt idx="29">
                  <c:v>47179.5</c:v>
                </c:pt>
                <c:pt idx="30">
                  <c:v>47947.5</c:v>
                </c:pt>
                <c:pt idx="31">
                  <c:v>48650.5</c:v>
                </c:pt>
                <c:pt idx="32">
                  <c:v>50442.5</c:v>
                </c:pt>
                <c:pt idx="33">
                  <c:v>50476.5</c:v>
                </c:pt>
                <c:pt idx="34">
                  <c:v>50546.5</c:v>
                </c:pt>
                <c:pt idx="35">
                  <c:v>51941.5</c:v>
                </c:pt>
                <c:pt idx="36">
                  <c:v>51941.5</c:v>
                </c:pt>
                <c:pt idx="37">
                  <c:v>52202.5</c:v>
                </c:pt>
                <c:pt idx="38">
                  <c:v>52993.5</c:v>
                </c:pt>
                <c:pt idx="39">
                  <c:v>53025.5</c:v>
                </c:pt>
                <c:pt idx="40">
                  <c:v>53680.5</c:v>
                </c:pt>
                <c:pt idx="41">
                  <c:v>53781.5</c:v>
                </c:pt>
                <c:pt idx="42">
                  <c:v>53781.5</c:v>
                </c:pt>
                <c:pt idx="43">
                  <c:v>54589.5</c:v>
                </c:pt>
                <c:pt idx="44">
                  <c:v>54697.5</c:v>
                </c:pt>
                <c:pt idx="45">
                  <c:v>54711.5</c:v>
                </c:pt>
                <c:pt idx="46">
                  <c:v>55479.5</c:v>
                </c:pt>
                <c:pt idx="47">
                  <c:v>55529.5</c:v>
                </c:pt>
                <c:pt idx="48">
                  <c:v>55569.5</c:v>
                </c:pt>
                <c:pt idx="49">
                  <c:v>56383.5</c:v>
                </c:pt>
                <c:pt idx="50">
                  <c:v>56413.5</c:v>
                </c:pt>
                <c:pt idx="51">
                  <c:v>57211.5</c:v>
                </c:pt>
                <c:pt idx="52">
                  <c:v>58191.5</c:v>
                </c:pt>
                <c:pt idx="53">
                  <c:v>58775.5</c:v>
                </c:pt>
                <c:pt idx="54">
                  <c:v>58775.5</c:v>
                </c:pt>
                <c:pt idx="55">
                  <c:v>58919.5</c:v>
                </c:pt>
                <c:pt idx="56">
                  <c:v>59003.5</c:v>
                </c:pt>
                <c:pt idx="57">
                  <c:v>59691.5</c:v>
                </c:pt>
                <c:pt idx="58">
                  <c:v>59757.5</c:v>
                </c:pt>
                <c:pt idx="59">
                  <c:v>59787.5</c:v>
                </c:pt>
                <c:pt idx="60">
                  <c:v>60371.5</c:v>
                </c:pt>
                <c:pt idx="61">
                  <c:v>60479.5</c:v>
                </c:pt>
                <c:pt idx="62">
                  <c:v>60571.5</c:v>
                </c:pt>
                <c:pt idx="63">
                  <c:v>60631.5</c:v>
                </c:pt>
                <c:pt idx="64">
                  <c:v>61229.5</c:v>
                </c:pt>
                <c:pt idx="65">
                  <c:v>61399.5</c:v>
                </c:pt>
                <c:pt idx="66">
                  <c:v>61535.5</c:v>
                </c:pt>
                <c:pt idx="67">
                  <c:v>62133.5</c:v>
                </c:pt>
                <c:pt idx="68">
                  <c:v>62901.5</c:v>
                </c:pt>
                <c:pt idx="69">
                  <c:v>63101.5</c:v>
                </c:pt>
                <c:pt idx="70">
                  <c:v>63177.5</c:v>
                </c:pt>
                <c:pt idx="71">
                  <c:v>63745.5</c:v>
                </c:pt>
                <c:pt idx="72">
                  <c:v>63837.5</c:v>
                </c:pt>
                <c:pt idx="73">
                  <c:v>64517.5</c:v>
                </c:pt>
                <c:pt idx="74">
                  <c:v>64619.5</c:v>
                </c:pt>
                <c:pt idx="75">
                  <c:v>65801.5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7">
                  <c:v>2.1212547006143723E-2</c:v>
                </c:pt>
                <c:pt idx="8">
                  <c:v>-9.1571273100271355E-2</c:v>
                </c:pt>
                <c:pt idx="9">
                  <c:v>5.3360622332547791E-2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F2-48A3-A51B-1267812C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43864"/>
        <c:axId val="1"/>
      </c:scatterChart>
      <c:valAx>
        <c:axId val="4259438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983396306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4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238287521752077E-2"/>
          <c:y val="0.9204921861831491"/>
          <c:w val="0.89743743570515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CMi - O-C Diagr.</a:t>
            </a:r>
          </a:p>
        </c:rich>
      </c:tx>
      <c:layout>
        <c:manualLayout>
          <c:xMode val="edge"/>
          <c:yMode val="edge"/>
          <c:x val="0.36146788990825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5"/>
          <c:w val="0.7871559633027522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B-4244-930E-14F56EC994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0">
                  <c:v>3.4800000001268927E-2</c:v>
                </c:pt>
                <c:pt idx="11">
                  <c:v>5.1549999996495899E-2</c:v>
                </c:pt>
                <c:pt idx="12">
                  <c:v>5.1449999999022111E-2</c:v>
                </c:pt>
                <c:pt idx="13">
                  <c:v>-0.12740000000485452</c:v>
                </c:pt>
                <c:pt idx="15">
                  <c:v>-0.12400000000343425</c:v>
                </c:pt>
                <c:pt idx="18">
                  <c:v>9.8999999994703103E-2</c:v>
                </c:pt>
                <c:pt idx="19">
                  <c:v>9.0450000003329478E-2</c:v>
                </c:pt>
                <c:pt idx="20">
                  <c:v>-5.835000000661239E-2</c:v>
                </c:pt>
                <c:pt idx="21">
                  <c:v>-0.17295000000012806</c:v>
                </c:pt>
                <c:pt idx="22">
                  <c:v>-5.0750000002153683E-2</c:v>
                </c:pt>
                <c:pt idx="23">
                  <c:v>-7.624999999825377E-2</c:v>
                </c:pt>
                <c:pt idx="24">
                  <c:v>0.15655000000697328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B-4244-930E-14F56EC994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Faulkner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-8.2199999997101258E-2</c:v>
                </c:pt>
                <c:pt idx="5">
                  <c:v>-8.4849999999278225E-2</c:v>
                </c:pt>
                <c:pt idx="7">
                  <c:v>0.18920000000071013</c:v>
                </c:pt>
                <c:pt idx="9">
                  <c:v>-0.12655000000086147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BB-4244-930E-14F56EC994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BB-4244-930E-14F56EC994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BB-4244-930E-14F56EC994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BB-4244-930E-14F56EC994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3.0000000000000001E-3</c:v>
                  </c:pt>
                  <c:pt idx="18">
                    <c:v>4.0000000000000001E-3</c:v>
                  </c:pt>
                  <c:pt idx="19">
                    <c:v>3.0000000000000001E-3</c:v>
                  </c:pt>
                  <c:pt idx="20">
                    <c:v>5.0000000000000001E-3</c:v>
                  </c:pt>
                  <c:pt idx="21">
                    <c:v>5.0000000000000001E-3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8.6799999997310806E-2</c:v>
                </c:pt>
                <c:pt idx="2">
                  <c:v>-8.2199999997101258E-2</c:v>
                </c:pt>
                <c:pt idx="4">
                  <c:v>-8.4849999999278225E-2</c:v>
                </c:pt>
                <c:pt idx="6">
                  <c:v>0.18920000000071013</c:v>
                </c:pt>
                <c:pt idx="8">
                  <c:v>-0.12655000000086147</c:v>
                </c:pt>
                <c:pt idx="14">
                  <c:v>4.9199999994016252E-2</c:v>
                </c:pt>
                <c:pt idx="16">
                  <c:v>0.19499999999970896</c:v>
                </c:pt>
                <c:pt idx="17">
                  <c:v>-0.1213999999963562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BB-4244-930E-14F56EC994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17236</c:v>
                </c:pt>
                <c:pt idx="2">
                  <c:v>18536</c:v>
                </c:pt>
                <c:pt idx="3">
                  <c:v>18536</c:v>
                </c:pt>
                <c:pt idx="4">
                  <c:v>18911.5</c:v>
                </c:pt>
                <c:pt idx="5">
                  <c:v>18911.5</c:v>
                </c:pt>
                <c:pt idx="6">
                  <c:v>18915</c:v>
                </c:pt>
                <c:pt idx="7">
                  <c:v>18915</c:v>
                </c:pt>
                <c:pt idx="8">
                  <c:v>18916.5</c:v>
                </c:pt>
                <c:pt idx="9">
                  <c:v>18916.5</c:v>
                </c:pt>
                <c:pt idx="10">
                  <c:v>19896</c:v>
                </c:pt>
                <c:pt idx="11">
                  <c:v>20343.5</c:v>
                </c:pt>
                <c:pt idx="12">
                  <c:v>20376.5</c:v>
                </c:pt>
                <c:pt idx="13">
                  <c:v>20402</c:v>
                </c:pt>
                <c:pt idx="14">
                  <c:v>20824</c:v>
                </c:pt>
                <c:pt idx="15">
                  <c:v>21120</c:v>
                </c:pt>
                <c:pt idx="16">
                  <c:v>21240</c:v>
                </c:pt>
                <c:pt idx="17">
                  <c:v>21722</c:v>
                </c:pt>
                <c:pt idx="18">
                  <c:v>21780</c:v>
                </c:pt>
                <c:pt idx="19">
                  <c:v>21796.5</c:v>
                </c:pt>
                <c:pt idx="20">
                  <c:v>23020.5</c:v>
                </c:pt>
                <c:pt idx="21">
                  <c:v>23488.5</c:v>
                </c:pt>
                <c:pt idx="22">
                  <c:v>23622.5</c:v>
                </c:pt>
                <c:pt idx="23">
                  <c:v>24047.5</c:v>
                </c:pt>
                <c:pt idx="24">
                  <c:v>27750.5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-1.3899442668449438E-2</c:v>
                </c:pt>
                <c:pt idx="1">
                  <c:v>-6.2214339075974193E-3</c:v>
                </c:pt>
                <c:pt idx="2">
                  <c:v>-5.6423313670365214E-3</c:v>
                </c:pt>
                <c:pt idx="3">
                  <c:v>-5.6423313670365214E-3</c:v>
                </c:pt>
                <c:pt idx="4">
                  <c:v>-5.4750598255129714E-3</c:v>
                </c:pt>
                <c:pt idx="5">
                  <c:v>-5.4750598255129714E-3</c:v>
                </c:pt>
                <c:pt idx="6">
                  <c:v>-5.4735007032883833E-3</c:v>
                </c:pt>
                <c:pt idx="7">
                  <c:v>-5.4735007032883833E-3</c:v>
                </c:pt>
                <c:pt idx="8">
                  <c:v>-5.4728325080492749E-3</c:v>
                </c:pt>
                <c:pt idx="9">
                  <c:v>-5.4728325080492749E-3</c:v>
                </c:pt>
                <c:pt idx="10">
                  <c:v>-5.0365010169112767E-3</c:v>
                </c:pt>
                <c:pt idx="11">
                  <c:v>-4.8371561039105056E-3</c:v>
                </c:pt>
                <c:pt idx="12">
                  <c:v>-4.8224558086501137E-3</c:v>
                </c:pt>
                <c:pt idx="13">
                  <c:v>-4.8110964895852655E-3</c:v>
                </c:pt>
                <c:pt idx="14">
                  <c:v>-4.6231108956493426E-3</c:v>
                </c:pt>
                <c:pt idx="15">
                  <c:v>-4.4912537017985539E-3</c:v>
                </c:pt>
                <c:pt idx="16">
                  <c:v>-4.4377980826698568E-3</c:v>
                </c:pt>
                <c:pt idx="17">
                  <c:v>-4.2230846791695854E-3</c:v>
                </c:pt>
                <c:pt idx="18">
                  <c:v>-4.1972477965907147E-3</c:v>
                </c:pt>
                <c:pt idx="19">
                  <c:v>-4.1898976489605187E-3</c:v>
                </c:pt>
                <c:pt idx="20">
                  <c:v>-3.6446503338477959E-3</c:v>
                </c:pt>
                <c:pt idx="21">
                  <c:v>-3.4361734192458731E-3</c:v>
                </c:pt>
                <c:pt idx="22">
                  <c:v>-3.3764813112188274E-3</c:v>
                </c:pt>
                <c:pt idx="23">
                  <c:v>-3.1871593268046877E-3</c:v>
                </c:pt>
                <c:pt idx="24">
                  <c:v>-1.5376080131916086E-3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BB-4244-930E-14F56EC9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953376"/>
        <c:axId val="1"/>
      </c:scatterChart>
      <c:valAx>
        <c:axId val="4259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12844036697253E-2"/>
          <c:y val="0.91874999999999996"/>
          <c:w val="0.897247706422018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38100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6FA64338-E8C5-047D-FECB-9970097B6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57150</xdr:rowOff>
    </xdr:from>
    <xdr:to>
      <xdr:col>26</xdr:col>
      <xdr:colOff>342900</xdr:colOff>
      <xdr:row>18</xdr:row>
      <xdr:rowOff>85725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174BA95-EC56-5BB2-C186-0D6C6CB5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123825</xdr:rowOff>
    </xdr:from>
    <xdr:to>
      <xdr:col>13</xdr:col>
      <xdr:colOff>314325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5C94D94-E6CD-07FF-A5B1-6B67D774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86PASP...98..690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var.astro.cz/oejv/issues/oejv0073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var.astro.cz/oejv/issues/oejv0116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"/>
  <sheetViews>
    <sheetView tabSelected="1" workbookViewId="0">
      <pane ySplit="20" topLeftCell="A84" activePane="bottomLeft" state="frozen"/>
      <selection pane="bottomLeft" activeCell="F11" sqref="F11"/>
    </sheetView>
  </sheetViews>
  <sheetFormatPr defaultColWidth="10.28515625" defaultRowHeight="12.75"/>
  <cols>
    <col min="1" max="1" width="19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7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58</v>
      </c>
    </row>
    <row r="2" spans="1:7" s="72" customFormat="1" ht="12.95" customHeight="1">
      <c r="A2" s="72" t="s">
        <v>28</v>
      </c>
      <c r="B2" s="19" t="s">
        <v>60</v>
      </c>
      <c r="G2" s="73"/>
    </row>
    <row r="3" spans="1:7" s="72" customFormat="1" ht="12.95" customHeight="1" thickBot="1">
      <c r="G3" s="73"/>
    </row>
    <row r="4" spans="1:7" s="72" customFormat="1" ht="12.95" customHeight="1" thickTop="1" thickBot="1">
      <c r="A4" s="5" t="s">
        <v>2</v>
      </c>
      <c r="C4" s="74">
        <v>31521.38</v>
      </c>
      <c r="D4" s="75">
        <v>0.78869999999999996</v>
      </c>
      <c r="G4" s="73"/>
    </row>
    <row r="5" spans="1:7" s="72" customFormat="1" ht="12.95" customHeight="1" thickTop="1">
      <c r="A5" s="25" t="s">
        <v>64</v>
      </c>
      <c r="B5" s="76"/>
      <c r="C5" s="26">
        <v>-9.5</v>
      </c>
      <c r="D5" s="76" t="s">
        <v>65</v>
      </c>
      <c r="G5" s="73"/>
    </row>
    <row r="6" spans="1:7" s="72" customFormat="1" ht="12.95" customHeight="1">
      <c r="A6" s="5" t="s">
        <v>3</v>
      </c>
      <c r="G6" s="73"/>
    </row>
    <row r="7" spans="1:7" s="72" customFormat="1" ht="12.95" customHeight="1">
      <c r="A7" s="72" t="s">
        <v>4</v>
      </c>
      <c r="C7" s="72">
        <f>+C4</f>
        <v>31521.38</v>
      </c>
      <c r="D7" s="21" t="s">
        <v>61</v>
      </c>
      <c r="G7" s="73"/>
    </row>
    <row r="8" spans="1:7" s="72" customFormat="1" ht="12.95" customHeight="1">
      <c r="A8" s="72" t="s">
        <v>5</v>
      </c>
      <c r="C8" s="72">
        <v>0.43360870911223465</v>
      </c>
      <c r="D8" s="20" t="s">
        <v>62</v>
      </c>
      <c r="G8" s="73"/>
    </row>
    <row r="9" spans="1:7" s="72" customFormat="1" ht="12.95" customHeight="1">
      <c r="A9" s="30" t="s">
        <v>69</v>
      </c>
      <c r="B9" s="32">
        <v>71</v>
      </c>
      <c r="C9" s="28" t="str">
        <f>"F"&amp;B9</f>
        <v>F71</v>
      </c>
      <c r="D9" s="51" t="str">
        <f>"G"&amp;B9</f>
        <v>G71</v>
      </c>
      <c r="G9" s="73"/>
    </row>
    <row r="10" spans="1:7" s="72" customFormat="1" ht="12.95" customHeight="1" thickBot="1">
      <c r="A10" s="76"/>
      <c r="B10" s="76"/>
      <c r="C10" s="77" t="s">
        <v>23</v>
      </c>
      <c r="D10" s="77" t="s">
        <v>24</v>
      </c>
      <c r="E10" s="76"/>
      <c r="G10" s="73"/>
    </row>
    <row r="11" spans="1:7" s="72" customFormat="1" ht="12.95" customHeight="1">
      <c r="A11" s="76" t="s">
        <v>18</v>
      </c>
      <c r="B11" s="76"/>
      <c r="C11" s="27">
        <f ca="1">INTERCEPT(INDIRECT($D$9):G987,INDIRECT($C$9):F987)</f>
        <v>-6.6346935231424556E-2</v>
      </c>
      <c r="D11" s="78"/>
      <c r="E11" s="76"/>
      <c r="G11" s="73"/>
    </row>
    <row r="12" spans="1:7" s="72" customFormat="1" ht="12.95" customHeight="1">
      <c r="A12" s="76" t="s">
        <v>19</v>
      </c>
      <c r="B12" s="76"/>
      <c r="C12" s="27">
        <f ca="1">SLOPE(INDIRECT($D$9):G987,INDIRECT($C$9):F987)</f>
        <v>-9.5357049140621462E-8</v>
      </c>
      <c r="D12" s="78"/>
      <c r="E12" s="76"/>
      <c r="G12" s="73"/>
    </row>
    <row r="13" spans="1:7" s="72" customFormat="1" ht="12.95" customHeight="1">
      <c r="A13" s="76" t="s">
        <v>22</v>
      </c>
      <c r="B13" s="76"/>
      <c r="C13" s="78" t="s">
        <v>16</v>
      </c>
      <c r="G13" s="73"/>
    </row>
    <row r="14" spans="1:7" s="72" customFormat="1" ht="12.95" customHeight="1">
      <c r="A14" s="76"/>
      <c r="B14" s="76"/>
      <c r="C14" s="76"/>
      <c r="G14" s="73"/>
    </row>
    <row r="15" spans="1:7" s="72" customFormat="1" ht="12.95" customHeight="1">
      <c r="A15" s="29" t="s">
        <v>20</v>
      </c>
      <c r="B15" s="76"/>
      <c r="C15" s="13">
        <f ca="1">(C7+C11)+(C8+C12)*INT(MAX(F21:F3528))</f>
        <v>60053.194046769728</v>
      </c>
      <c r="E15" s="30" t="s">
        <v>74</v>
      </c>
      <c r="F15" s="26">
        <v>1</v>
      </c>
      <c r="G15" s="73"/>
    </row>
    <row r="16" spans="1:7" s="72" customFormat="1" ht="12.95" customHeight="1">
      <c r="A16" s="29" t="s">
        <v>6</v>
      </c>
      <c r="B16" s="76"/>
      <c r="C16" s="13">
        <f ca="1">+C8+C12</f>
        <v>0.4336086137551855</v>
      </c>
      <c r="E16" s="30" t="s">
        <v>66</v>
      </c>
      <c r="F16" s="27">
        <f ca="1">NOW()+15018.5+$C$5/24</f>
        <v>60312.608954976851</v>
      </c>
      <c r="G16" s="73"/>
    </row>
    <row r="17" spans="1:32" s="72" customFormat="1" ht="12.95" customHeight="1" thickBot="1">
      <c r="A17" s="30" t="s">
        <v>57</v>
      </c>
      <c r="B17" s="76"/>
      <c r="C17" s="76">
        <f>COUNT(C21:C2186)</f>
        <v>76</v>
      </c>
      <c r="E17" s="30" t="s">
        <v>75</v>
      </c>
      <c r="F17" s="27">
        <f ca="1">ROUND(2*(F16-$C$7)/$C$8,0)/2+F15</f>
        <v>66400</v>
      </c>
      <c r="G17" s="73"/>
    </row>
    <row r="18" spans="1:32" s="72" customFormat="1" ht="12.95" customHeight="1" thickTop="1" thickBot="1">
      <c r="A18" s="29" t="s">
        <v>7</v>
      </c>
      <c r="B18" s="76"/>
      <c r="C18" s="79">
        <f ca="1">+C15</f>
        <v>60053.194046769728</v>
      </c>
      <c r="D18" s="80">
        <f ca="1">+C16</f>
        <v>0.4336086137551855</v>
      </c>
      <c r="E18" s="30" t="s">
        <v>67</v>
      </c>
      <c r="F18" s="18">
        <f ca="1">ROUND(2*(F16-$C$15)/$C$16,0)/2+F15</f>
        <v>599.5</v>
      </c>
      <c r="G18" s="73"/>
    </row>
    <row r="19" spans="1:32" s="72" customFormat="1" ht="12.95" customHeight="1" thickTop="1">
      <c r="E19" s="30" t="s">
        <v>68</v>
      </c>
      <c r="F19" s="31">
        <f ca="1">+$C$15+$C$16*F18-15018.5-$C$5/24</f>
        <v>45295.038244049298</v>
      </c>
      <c r="G19" s="73"/>
    </row>
    <row r="20" spans="1:32" s="72" customFormat="1" ht="12.95" customHeight="1" thickBot="1">
      <c r="A20" s="77" t="s">
        <v>8</v>
      </c>
      <c r="B20" s="77" t="s">
        <v>9</v>
      </c>
      <c r="C20" s="81" t="s">
        <v>10</v>
      </c>
      <c r="D20" s="77" t="s">
        <v>15</v>
      </c>
      <c r="E20" s="77" t="s">
        <v>11</v>
      </c>
      <c r="F20" s="77" t="s">
        <v>12</v>
      </c>
      <c r="G20" s="81" t="s">
        <v>13</v>
      </c>
      <c r="H20" s="10" t="s">
        <v>33</v>
      </c>
      <c r="I20" s="10" t="s">
        <v>95</v>
      </c>
      <c r="J20" s="10" t="s">
        <v>90</v>
      </c>
      <c r="K20" s="10" t="s">
        <v>88</v>
      </c>
      <c r="L20" s="10" t="s">
        <v>29</v>
      </c>
      <c r="M20" s="10" t="s">
        <v>30</v>
      </c>
      <c r="N20" s="10" t="s">
        <v>31</v>
      </c>
      <c r="O20" s="10" t="s">
        <v>26</v>
      </c>
      <c r="P20" s="10" t="s">
        <v>25</v>
      </c>
      <c r="Q20" s="77" t="s">
        <v>17</v>
      </c>
      <c r="U20" s="50" t="s">
        <v>310</v>
      </c>
    </row>
    <row r="21" spans="1:32" s="72" customFormat="1" ht="12.95" customHeight="1">
      <c r="A21" s="48" t="s">
        <v>102</v>
      </c>
      <c r="B21" s="49" t="s">
        <v>71</v>
      </c>
      <c r="C21" s="48">
        <v>31477.27</v>
      </c>
      <c r="D21" s="48" t="s">
        <v>95</v>
      </c>
      <c r="E21" s="82">
        <f t="shared" ref="E21:E52" si="0">+(C21-C$7)/C$8</f>
        <v>-101.72766153685168</v>
      </c>
      <c r="F21" s="72">
        <f t="shared" ref="F21:F52" si="1">ROUND(2*E21,0)/2</f>
        <v>-101.5</v>
      </c>
      <c r="G21" s="73">
        <f>+C21-(C$7+F21*C$8)</f>
        <v>-9.8716025109752081E-2</v>
      </c>
      <c r="J21" s="72">
        <f>+G21</f>
        <v>-9.8716025109752081E-2</v>
      </c>
      <c r="O21" s="72">
        <f t="shared" ref="O21:O52" ca="1" si="2">+C$11+C$12*F21</f>
        <v>-6.6337256490936788E-2</v>
      </c>
      <c r="Q21" s="83">
        <f t="shared" ref="Q21:Q52" si="3">+C21-15018.5</f>
        <v>16458.77</v>
      </c>
    </row>
    <row r="22" spans="1:32" s="72" customFormat="1" ht="12.95" customHeight="1">
      <c r="A22" s="48" t="s">
        <v>102</v>
      </c>
      <c r="B22" s="49" t="s">
        <v>71</v>
      </c>
      <c r="C22" s="48">
        <v>31521.33</v>
      </c>
      <c r="D22" s="48" t="s">
        <v>95</v>
      </c>
      <c r="E22" s="82">
        <f t="shared" si="0"/>
        <v>-0.11531133703850602</v>
      </c>
      <c r="F22" s="72">
        <f t="shared" si="1"/>
        <v>0</v>
      </c>
      <c r="G22" s="73">
        <f>+C22-(C$7+F22*C$8)</f>
        <v>-4.9999999999272404E-2</v>
      </c>
      <c r="J22" s="72">
        <f>+G22</f>
        <v>-4.9999999999272404E-2</v>
      </c>
      <c r="O22" s="72">
        <f t="shared" ca="1" si="2"/>
        <v>-6.6346935231424556E-2</v>
      </c>
      <c r="Q22" s="83">
        <f t="shared" si="3"/>
        <v>16502.830000000002</v>
      </c>
    </row>
    <row r="23" spans="1:32" s="72" customFormat="1" ht="12.95" customHeight="1">
      <c r="A23" s="72" t="s">
        <v>14</v>
      </c>
      <c r="C23" s="73">
        <v>31521.38</v>
      </c>
      <c r="D23" s="73" t="s">
        <v>16</v>
      </c>
      <c r="E23" s="72">
        <f t="shared" si="0"/>
        <v>0</v>
      </c>
      <c r="F23" s="72">
        <f t="shared" si="1"/>
        <v>0</v>
      </c>
      <c r="G23" s="51"/>
      <c r="H23" s="18">
        <v>0</v>
      </c>
      <c r="O23" s="72">
        <f t="shared" ca="1" si="2"/>
        <v>-6.6346935231424556E-2</v>
      </c>
      <c r="Q23" s="83">
        <f t="shared" si="3"/>
        <v>16502.88</v>
      </c>
    </row>
    <row r="24" spans="1:32" s="72" customFormat="1" ht="12.95" customHeight="1">
      <c r="A24" s="48" t="s">
        <v>102</v>
      </c>
      <c r="B24" s="49" t="s">
        <v>71</v>
      </c>
      <c r="C24" s="48">
        <v>31532.36</v>
      </c>
      <c r="D24" s="48" t="s">
        <v>95</v>
      </c>
      <c r="E24" s="82">
        <f t="shared" si="0"/>
        <v>25.322369614023405</v>
      </c>
      <c r="F24" s="72">
        <f t="shared" si="1"/>
        <v>25.5</v>
      </c>
      <c r="G24" s="73">
        <f>+C24-(C$7+F24*C$8)</f>
        <v>-7.7022082361509092E-2</v>
      </c>
      <c r="J24" s="72">
        <f>+G24</f>
        <v>-7.7022082361509092E-2</v>
      </c>
      <c r="O24" s="72">
        <f t="shared" ca="1" si="2"/>
        <v>-6.6349366836177648E-2</v>
      </c>
      <c r="Q24" s="83">
        <f t="shared" si="3"/>
        <v>16513.86</v>
      </c>
    </row>
    <row r="25" spans="1:32" s="72" customFormat="1" ht="12.95" customHeight="1">
      <c r="A25" s="48" t="s">
        <v>102</v>
      </c>
      <c r="B25" s="49" t="s">
        <v>71</v>
      </c>
      <c r="C25" s="48">
        <v>31559.3</v>
      </c>
      <c r="D25" s="48" t="s">
        <v>95</v>
      </c>
      <c r="E25" s="82">
        <f t="shared" si="0"/>
        <v>87.452118011271537</v>
      </c>
      <c r="F25" s="72">
        <f t="shared" si="1"/>
        <v>87.5</v>
      </c>
      <c r="G25" s="73">
        <f>+C25-(C$7+F25*C$8)</f>
        <v>-2.0762047322932631E-2</v>
      </c>
      <c r="J25" s="72">
        <f>+G25</f>
        <v>-2.0762047322932631E-2</v>
      </c>
      <c r="O25" s="72">
        <f t="shared" ca="1" si="2"/>
        <v>-6.6355278973224366E-2</v>
      </c>
      <c r="Q25" s="83">
        <f t="shared" si="3"/>
        <v>16540.8</v>
      </c>
    </row>
    <row r="26" spans="1:32" s="72" customFormat="1" ht="12.95" customHeight="1">
      <c r="A26" s="48" t="s">
        <v>102</v>
      </c>
      <c r="B26" s="49" t="s">
        <v>71</v>
      </c>
      <c r="C26" s="48">
        <v>31562.32</v>
      </c>
      <c r="D26" s="48" t="s">
        <v>95</v>
      </c>
      <c r="E26" s="82">
        <f t="shared" si="0"/>
        <v>94.416922768499646</v>
      </c>
      <c r="F26" s="72">
        <f t="shared" si="1"/>
        <v>94.5</v>
      </c>
      <c r="G26" s="73">
        <f>+C26-(C$7+F26*C$8)</f>
        <v>-3.602301110731787E-2</v>
      </c>
      <c r="J26" s="72">
        <f>+G26</f>
        <v>-3.602301110731787E-2</v>
      </c>
      <c r="O26" s="72">
        <f t="shared" ca="1" si="2"/>
        <v>-6.6355946472568345E-2</v>
      </c>
      <c r="Q26" s="83">
        <f t="shared" si="3"/>
        <v>16543.82</v>
      </c>
    </row>
    <row r="27" spans="1:32" s="72" customFormat="1" ht="12.95" customHeight="1">
      <c r="A27" s="48" t="s">
        <v>102</v>
      </c>
      <c r="B27" s="49" t="s">
        <v>71</v>
      </c>
      <c r="C27" s="48">
        <v>31585.32</v>
      </c>
      <c r="D27" s="48" t="s">
        <v>95</v>
      </c>
      <c r="E27" s="82">
        <f t="shared" si="0"/>
        <v>147.46013780698431</v>
      </c>
      <c r="F27" s="72">
        <f t="shared" si="1"/>
        <v>147.5</v>
      </c>
      <c r="G27" s="73">
        <f>+C27-(C$7+F27*C$8)</f>
        <v>-1.728459405421745E-2</v>
      </c>
      <c r="J27" s="72">
        <f>+G27</f>
        <v>-1.728459405421745E-2</v>
      </c>
      <c r="O27" s="72">
        <f t="shared" ca="1" si="2"/>
        <v>-6.6361000396172792E-2</v>
      </c>
      <c r="Q27" s="83">
        <f t="shared" si="3"/>
        <v>16566.82</v>
      </c>
    </row>
    <row r="28" spans="1:32" s="72" customFormat="1" ht="12.95" customHeight="1">
      <c r="A28" s="48" t="s">
        <v>121</v>
      </c>
      <c r="B28" s="49" t="s">
        <v>53</v>
      </c>
      <c r="C28" s="48">
        <v>44983.434000000001</v>
      </c>
      <c r="D28" s="48" t="s">
        <v>95</v>
      </c>
      <c r="E28" s="82">
        <f t="shared" si="0"/>
        <v>31046.548920943147</v>
      </c>
      <c r="F28" s="72">
        <f t="shared" si="1"/>
        <v>31046.5</v>
      </c>
      <c r="G28" s="73"/>
      <c r="O28" s="72">
        <f t="shared" ca="1" si="2"/>
        <v>-6.9307437857568863E-2</v>
      </c>
      <c r="Q28" s="83">
        <f t="shared" si="3"/>
        <v>29964.934000000001</v>
      </c>
      <c r="U28" s="73">
        <f>+C28-(C$7+F28*C$8)</f>
        <v>2.1212547006143723E-2</v>
      </c>
    </row>
    <row r="29" spans="1:32" s="72" customFormat="1" ht="12.95" customHeight="1">
      <c r="A29" s="48" t="s">
        <v>121</v>
      </c>
      <c r="B29" s="49" t="s">
        <v>53</v>
      </c>
      <c r="C29" s="48">
        <v>45022.345999999998</v>
      </c>
      <c r="D29" s="48" t="s">
        <v>95</v>
      </c>
      <c r="E29" s="82">
        <f t="shared" si="0"/>
        <v>31136.288815881293</v>
      </c>
      <c r="F29" s="72">
        <f t="shared" si="1"/>
        <v>31136.5</v>
      </c>
      <c r="G29" s="73"/>
      <c r="O29" s="72">
        <f t="shared" ca="1" si="2"/>
        <v>-6.9316019991991509E-2</v>
      </c>
      <c r="Q29" s="83">
        <f t="shared" si="3"/>
        <v>30003.845999999998</v>
      </c>
      <c r="U29" s="73">
        <f>+C29-(C$7+F29*C$8)</f>
        <v>-9.1571273100271355E-2</v>
      </c>
    </row>
    <row r="30" spans="1:32" s="72" customFormat="1" ht="12.95" customHeight="1">
      <c r="A30" s="72" t="s">
        <v>34</v>
      </c>
      <c r="C30" s="73">
        <v>45115.5</v>
      </c>
      <c r="D30" s="73"/>
      <c r="E30" s="72">
        <f t="shared" si="0"/>
        <v>31351.123061694125</v>
      </c>
      <c r="F30" s="72">
        <f t="shared" si="1"/>
        <v>31351</v>
      </c>
      <c r="G30" s="73"/>
      <c r="O30" s="72">
        <f t="shared" ca="1" si="2"/>
        <v>-6.9336474079032179E-2</v>
      </c>
      <c r="Q30" s="83">
        <f t="shared" si="3"/>
        <v>30097</v>
      </c>
      <c r="U30" s="18">
        <v>5.3360622332547791E-2</v>
      </c>
      <c r="AA30" s="72" t="s">
        <v>33</v>
      </c>
      <c r="AF30" s="72" t="s">
        <v>35</v>
      </c>
    </row>
    <row r="31" spans="1:32" s="72" customFormat="1" ht="12.95" customHeight="1">
      <c r="A31" s="72" t="s">
        <v>37</v>
      </c>
      <c r="C31" s="73">
        <v>46140.641000000003</v>
      </c>
      <c r="D31" s="73"/>
      <c r="E31" s="72">
        <f t="shared" si="0"/>
        <v>33715.330648988354</v>
      </c>
      <c r="F31" s="72">
        <f t="shared" si="1"/>
        <v>33715.5</v>
      </c>
      <c r="G31" s="73">
        <f t="shared" ref="G31:G62" si="4">+C31-(C$7+F31*C$8)</f>
        <v>-7.3432073542790022E-2</v>
      </c>
      <c r="N31" s="72">
        <f>+G31</f>
        <v>-7.3432073542790022E-2</v>
      </c>
      <c r="O31" s="72">
        <f t="shared" ca="1" si="2"/>
        <v>-6.9561945821725174E-2</v>
      </c>
      <c r="Q31" s="83">
        <f t="shared" si="3"/>
        <v>31122.141000000003</v>
      </c>
      <c r="AA31" s="72" t="s">
        <v>36</v>
      </c>
      <c r="AF31" s="72" t="s">
        <v>35</v>
      </c>
    </row>
    <row r="32" spans="1:32" s="72" customFormat="1" ht="12.95" customHeight="1">
      <c r="A32" s="72" t="s">
        <v>37</v>
      </c>
      <c r="C32" s="73">
        <v>46436.7952</v>
      </c>
      <c r="D32" s="73"/>
      <c r="E32" s="72">
        <f t="shared" si="0"/>
        <v>34398.329384429671</v>
      </c>
      <c r="F32" s="72">
        <f t="shared" si="1"/>
        <v>34398.5</v>
      </c>
      <c r="G32" s="73">
        <f t="shared" si="4"/>
        <v>-7.3980397202831227E-2</v>
      </c>
      <c r="N32" s="72">
        <f>+G32</f>
        <v>-7.3980397202831227E-2</v>
      </c>
      <c r="O32" s="72">
        <f t="shared" ca="1" si="2"/>
        <v>-6.9627074686288218E-2</v>
      </c>
      <c r="Q32" s="83">
        <f t="shared" si="3"/>
        <v>31418.2952</v>
      </c>
      <c r="AA32" s="72" t="s">
        <v>36</v>
      </c>
      <c r="AF32" s="72" t="s">
        <v>35</v>
      </c>
    </row>
    <row r="33" spans="1:32" s="72" customFormat="1" ht="12.95" customHeight="1">
      <c r="A33" s="72" t="s">
        <v>37</v>
      </c>
      <c r="C33" s="73">
        <v>46439.829700000002</v>
      </c>
      <c r="D33" s="73"/>
      <c r="E33" s="72">
        <f t="shared" si="0"/>
        <v>34405.327629474647</v>
      </c>
      <c r="F33" s="72">
        <f t="shared" si="1"/>
        <v>34405.5</v>
      </c>
      <c r="G33" s="73">
        <f t="shared" si="4"/>
        <v>-7.4741360986081418E-2</v>
      </c>
      <c r="N33" s="72">
        <f>+G33</f>
        <v>-7.4741360986081418E-2</v>
      </c>
      <c r="O33" s="72">
        <f t="shared" ca="1" si="2"/>
        <v>-6.962774218563221E-2</v>
      </c>
      <c r="Q33" s="83">
        <f t="shared" si="3"/>
        <v>31421.329700000002</v>
      </c>
      <c r="AA33" s="72" t="s">
        <v>36</v>
      </c>
      <c r="AF33" s="72" t="s">
        <v>35</v>
      </c>
    </row>
    <row r="34" spans="1:32" s="72" customFormat="1" ht="12.95" customHeight="1">
      <c r="A34" s="72" t="s">
        <v>37</v>
      </c>
      <c r="C34" s="73">
        <v>46440.697</v>
      </c>
      <c r="D34" s="73"/>
      <c r="E34" s="72">
        <f t="shared" si="0"/>
        <v>34407.327819926941</v>
      </c>
      <c r="F34" s="72">
        <f t="shared" si="1"/>
        <v>34407.5</v>
      </c>
      <c r="G34" s="73">
        <f t="shared" si="4"/>
        <v>-7.4658779216406401E-2</v>
      </c>
      <c r="N34" s="72">
        <f>+G34</f>
        <v>-7.4658779216406401E-2</v>
      </c>
      <c r="O34" s="72">
        <f t="shared" ca="1" si="2"/>
        <v>-6.9627932899730488E-2</v>
      </c>
      <c r="Q34" s="83">
        <f t="shared" si="3"/>
        <v>31422.197</v>
      </c>
      <c r="AA34" s="72" t="s">
        <v>36</v>
      </c>
      <c r="AF34" s="72" t="s">
        <v>35</v>
      </c>
    </row>
    <row r="35" spans="1:32" s="72" customFormat="1" ht="12.95" customHeight="1">
      <c r="A35" s="72" t="s">
        <v>40</v>
      </c>
      <c r="C35" s="73">
        <v>47213.39</v>
      </c>
      <c r="D35" s="73"/>
      <c r="E35" s="72">
        <f t="shared" si="0"/>
        <v>36189.333078958756</v>
      </c>
      <c r="F35" s="72">
        <f t="shared" si="1"/>
        <v>36189.5</v>
      </c>
      <c r="G35" s="73">
        <f t="shared" si="4"/>
        <v>-7.2378417215077206E-2</v>
      </c>
      <c r="I35" s="72">
        <f>+G35</f>
        <v>-7.2378417215077206E-2</v>
      </c>
      <c r="O35" s="72">
        <f t="shared" ca="1" si="2"/>
        <v>-6.9797859161299075E-2</v>
      </c>
      <c r="Q35" s="83">
        <f t="shared" si="3"/>
        <v>32194.89</v>
      </c>
      <c r="AA35" s="72" t="s">
        <v>38</v>
      </c>
      <c r="AB35" s="72">
        <v>12</v>
      </c>
      <c r="AD35" s="72" t="s">
        <v>39</v>
      </c>
      <c r="AF35" s="72" t="s">
        <v>41</v>
      </c>
    </row>
    <row r="36" spans="1:32" s="72" customFormat="1" ht="12.95" customHeight="1">
      <c r="A36" s="72" t="s">
        <v>42</v>
      </c>
      <c r="C36" s="73">
        <v>47566.35</v>
      </c>
      <c r="D36" s="73"/>
      <c r="E36" s="72">
        <f t="shared" si="0"/>
        <v>37003.338869392821</v>
      </c>
      <c r="F36" s="72">
        <f t="shared" si="1"/>
        <v>37003.5</v>
      </c>
      <c r="G36" s="73">
        <f t="shared" si="4"/>
        <v>-6.986763457825873E-2</v>
      </c>
      <c r="I36" s="72">
        <f>+G36</f>
        <v>-6.986763457825873E-2</v>
      </c>
      <c r="O36" s="72">
        <f t="shared" ca="1" si="2"/>
        <v>-6.9875479799299547E-2</v>
      </c>
      <c r="Q36" s="83">
        <f t="shared" si="3"/>
        <v>32547.85</v>
      </c>
      <c r="AA36" s="72" t="s">
        <v>38</v>
      </c>
      <c r="AB36" s="72">
        <v>7</v>
      </c>
      <c r="AD36" s="72" t="s">
        <v>39</v>
      </c>
      <c r="AF36" s="72" t="s">
        <v>41</v>
      </c>
    </row>
    <row r="37" spans="1:32" s="72" customFormat="1" ht="12.95" customHeight="1">
      <c r="A37" s="72" t="s">
        <v>42</v>
      </c>
      <c r="C37" s="73">
        <v>47592.377</v>
      </c>
      <c r="D37" s="73"/>
      <c r="E37" s="72">
        <f t="shared" si="0"/>
        <v>37063.36303277572</v>
      </c>
      <c r="F37" s="72">
        <f t="shared" si="1"/>
        <v>37063.5</v>
      </c>
      <c r="G37" s="73">
        <f t="shared" si="4"/>
        <v>-5.9390181311755441E-2</v>
      </c>
      <c r="I37" s="72">
        <f>+G37</f>
        <v>-5.9390181311755441E-2</v>
      </c>
      <c r="O37" s="72">
        <f t="shared" ca="1" si="2"/>
        <v>-6.9881201222247974E-2</v>
      </c>
      <c r="Q37" s="83">
        <f t="shared" si="3"/>
        <v>32573.877</v>
      </c>
      <c r="AA37" s="72" t="s">
        <v>38</v>
      </c>
      <c r="AB37" s="72">
        <v>6</v>
      </c>
      <c r="AD37" s="72" t="s">
        <v>39</v>
      </c>
      <c r="AF37" s="72" t="s">
        <v>41</v>
      </c>
    </row>
    <row r="38" spans="1:32" s="72" customFormat="1" ht="12.95" customHeight="1">
      <c r="A38" s="72" t="s">
        <v>42</v>
      </c>
      <c r="C38" s="73">
        <v>47612.31</v>
      </c>
      <c r="D38" s="73"/>
      <c r="E38" s="72">
        <f t="shared" si="0"/>
        <v>37109.333050400157</v>
      </c>
      <c r="F38" s="72">
        <f t="shared" si="1"/>
        <v>37109.5</v>
      </c>
      <c r="G38" s="73">
        <f t="shared" si="4"/>
        <v>-7.2390800472931005E-2</v>
      </c>
      <c r="I38" s="72">
        <f>+G38</f>
        <v>-7.2390800472931005E-2</v>
      </c>
      <c r="O38" s="72">
        <f t="shared" ca="1" si="2"/>
        <v>-6.9885587646508443E-2</v>
      </c>
      <c r="Q38" s="83">
        <f t="shared" si="3"/>
        <v>32593.809999999998</v>
      </c>
      <c r="AA38" s="72" t="s">
        <v>38</v>
      </c>
      <c r="AB38" s="72">
        <v>11</v>
      </c>
      <c r="AD38" s="72" t="s">
        <v>39</v>
      </c>
      <c r="AF38" s="72" t="s">
        <v>41</v>
      </c>
    </row>
    <row r="39" spans="1:32" s="72" customFormat="1" ht="12.95" customHeight="1">
      <c r="A39" s="72" t="s">
        <v>43</v>
      </c>
      <c r="C39" s="73">
        <v>47945.317999999999</v>
      </c>
      <c r="D39" s="73"/>
      <c r="E39" s="72">
        <f t="shared" si="0"/>
        <v>37877.325004901715</v>
      </c>
      <c r="F39" s="72">
        <f t="shared" si="1"/>
        <v>37877.5</v>
      </c>
      <c r="G39" s="73">
        <f t="shared" si="4"/>
        <v>-7.5879398667893838E-2</v>
      </c>
      <c r="N39" s="72">
        <f>+G39</f>
        <v>-7.5879398667893838E-2</v>
      </c>
      <c r="O39" s="72">
        <f t="shared" ca="1" si="2"/>
        <v>-6.9958821860248446E-2</v>
      </c>
      <c r="Q39" s="83">
        <f t="shared" si="3"/>
        <v>32926.817999999999</v>
      </c>
      <c r="AA39" s="72" t="s">
        <v>33</v>
      </c>
      <c r="AF39" s="72" t="s">
        <v>35</v>
      </c>
    </row>
    <row r="40" spans="1:32" s="72" customFormat="1" ht="12.95" customHeight="1">
      <c r="A40" s="72" t="s">
        <v>44</v>
      </c>
      <c r="C40" s="73">
        <v>48178.6</v>
      </c>
      <c r="D40" s="73">
        <v>3.0000000000000001E-3</v>
      </c>
      <c r="E40" s="72">
        <f t="shared" si="0"/>
        <v>38415.326191449873</v>
      </c>
      <c r="F40" s="72">
        <f t="shared" si="1"/>
        <v>38415.5</v>
      </c>
      <c r="G40" s="73">
        <f t="shared" si="4"/>
        <v>-7.5364901051216293E-2</v>
      </c>
      <c r="I40" s="72">
        <f>+G40</f>
        <v>-7.5364901051216293E-2</v>
      </c>
      <c r="O40" s="72">
        <f t="shared" ca="1" si="2"/>
        <v>-7.0010123952686104E-2</v>
      </c>
      <c r="Q40" s="83">
        <f t="shared" si="3"/>
        <v>33160.1</v>
      </c>
      <c r="AA40" s="72" t="s">
        <v>38</v>
      </c>
      <c r="AB40" s="72">
        <v>18</v>
      </c>
      <c r="AD40" s="72" t="s">
        <v>39</v>
      </c>
      <c r="AF40" s="72" t="s">
        <v>41</v>
      </c>
    </row>
    <row r="41" spans="1:32" s="72" customFormat="1" ht="12.95" customHeight="1">
      <c r="A41" s="72" t="s">
        <v>45</v>
      </c>
      <c r="B41" s="78"/>
      <c r="C41" s="73">
        <v>48273.563000000002</v>
      </c>
      <c r="D41" s="73"/>
      <c r="E41" s="72">
        <f t="shared" si="0"/>
        <v>38634.332401436819</v>
      </c>
      <c r="F41" s="72">
        <f t="shared" si="1"/>
        <v>38634.5</v>
      </c>
      <c r="G41" s="73">
        <f t="shared" si="4"/>
        <v>-7.2672196627536323E-2</v>
      </c>
      <c r="N41" s="72">
        <f>+G41</f>
        <v>-7.2672196627536323E-2</v>
      </c>
      <c r="O41" s="72">
        <f t="shared" ca="1" si="2"/>
        <v>-7.0031007146447902E-2</v>
      </c>
      <c r="Q41" s="83">
        <f t="shared" si="3"/>
        <v>33255.063000000002</v>
      </c>
      <c r="AA41" s="72" t="s">
        <v>33</v>
      </c>
      <c r="AF41" s="72" t="s">
        <v>35</v>
      </c>
    </row>
    <row r="42" spans="1:32" s="72" customFormat="1" ht="12.95" customHeight="1">
      <c r="A42" s="72" t="s">
        <v>46</v>
      </c>
      <c r="B42" s="78" t="s">
        <v>53</v>
      </c>
      <c r="C42" s="73">
        <v>48653.4</v>
      </c>
      <c r="D42" s="73"/>
      <c r="E42" s="72">
        <f t="shared" si="0"/>
        <v>39510.32264798347</v>
      </c>
      <c r="F42" s="72">
        <f t="shared" si="1"/>
        <v>39510.5</v>
      </c>
      <c r="G42" s="73">
        <f t="shared" si="4"/>
        <v>-7.6901378946786281E-2</v>
      </c>
      <c r="N42" s="72">
        <f>+G42</f>
        <v>-7.6901378946786281E-2</v>
      </c>
      <c r="O42" s="72">
        <f t="shared" ca="1" si="2"/>
        <v>-7.0114539921495078E-2</v>
      </c>
      <c r="Q42" s="83">
        <f t="shared" si="3"/>
        <v>33634.9</v>
      </c>
      <c r="AA42" s="72" t="s">
        <v>33</v>
      </c>
      <c r="AF42" s="72" t="s">
        <v>35</v>
      </c>
    </row>
    <row r="43" spans="1:32" s="72" customFormat="1" ht="12.95" customHeight="1">
      <c r="A43" s="72" t="s">
        <v>47</v>
      </c>
      <c r="B43" s="78" t="s">
        <v>53</v>
      </c>
      <c r="C43" s="73">
        <v>48699.364999999998</v>
      </c>
      <c r="D43" s="73">
        <v>4.0000000000000001E-3</v>
      </c>
      <c r="E43" s="72">
        <f t="shared" si="0"/>
        <v>39616.328360124498</v>
      </c>
      <c r="F43" s="72">
        <f t="shared" si="1"/>
        <v>39616.5</v>
      </c>
      <c r="G43" s="73">
        <f t="shared" si="4"/>
        <v>-7.4424544851353858E-2</v>
      </c>
      <c r="I43" s="72">
        <f t="shared" ref="I43:I48" si="5">+G43</f>
        <v>-7.4424544851353858E-2</v>
      </c>
      <c r="O43" s="72">
        <f t="shared" ca="1" si="2"/>
        <v>-7.0124647768703988E-2</v>
      </c>
      <c r="Q43" s="83">
        <f t="shared" si="3"/>
        <v>33680.864999999998</v>
      </c>
      <c r="AA43" s="72" t="s">
        <v>38</v>
      </c>
      <c r="AB43" s="72">
        <v>18</v>
      </c>
      <c r="AD43" s="72" t="s">
        <v>39</v>
      </c>
      <c r="AF43" s="72" t="s">
        <v>41</v>
      </c>
    </row>
    <row r="44" spans="1:32" s="72" customFormat="1" ht="12.95" customHeight="1">
      <c r="A44" s="72" t="s">
        <v>47</v>
      </c>
      <c r="B44" s="78" t="s">
        <v>53</v>
      </c>
      <c r="C44" s="73">
        <v>48712.37</v>
      </c>
      <c r="D44" s="73">
        <v>3.0000000000000001E-3</v>
      </c>
      <c r="E44" s="72">
        <f t="shared" si="0"/>
        <v>39646.320838888663</v>
      </c>
      <c r="F44" s="72">
        <f t="shared" si="1"/>
        <v>39646.5</v>
      </c>
      <c r="G44" s="73">
        <f t="shared" si="4"/>
        <v>-7.7685818214376923E-2</v>
      </c>
      <c r="I44" s="72">
        <f t="shared" si="5"/>
        <v>-7.7685818214376923E-2</v>
      </c>
      <c r="O44" s="72">
        <f t="shared" ca="1" si="2"/>
        <v>-7.0127508480178208E-2</v>
      </c>
      <c r="Q44" s="83">
        <f t="shared" si="3"/>
        <v>33693.870000000003</v>
      </c>
      <c r="AA44" s="72" t="s">
        <v>38</v>
      </c>
      <c r="AB44" s="72">
        <v>18</v>
      </c>
      <c r="AD44" s="72" t="s">
        <v>39</v>
      </c>
      <c r="AF44" s="72" t="s">
        <v>41</v>
      </c>
    </row>
    <row r="45" spans="1:32" s="72" customFormat="1" ht="12.95" customHeight="1">
      <c r="A45" s="82" t="s">
        <v>48</v>
      </c>
      <c r="B45" s="23" t="s">
        <v>53</v>
      </c>
      <c r="C45" s="24">
        <v>49677.59</v>
      </c>
      <c r="D45" s="24">
        <v>5.0000000000000001E-3</v>
      </c>
      <c r="E45" s="82">
        <f t="shared" si="0"/>
        <v>41872.337013647179</v>
      </c>
      <c r="F45" s="72">
        <f t="shared" si="1"/>
        <v>41872.5</v>
      </c>
      <c r="G45" s="73">
        <f t="shared" si="4"/>
        <v>-7.0672302048478741E-2</v>
      </c>
      <c r="I45" s="72">
        <f t="shared" si="5"/>
        <v>-7.0672302048478741E-2</v>
      </c>
      <c r="O45" s="72">
        <f t="shared" ca="1" si="2"/>
        <v>-7.0339773271565223E-2</v>
      </c>
      <c r="Q45" s="83">
        <f t="shared" si="3"/>
        <v>34659.089999999997</v>
      </c>
      <c r="AA45" s="72" t="s">
        <v>36</v>
      </c>
      <c r="AB45" s="72">
        <v>24</v>
      </c>
      <c r="AD45" s="72" t="s">
        <v>39</v>
      </c>
      <c r="AF45" s="72" t="s">
        <v>41</v>
      </c>
    </row>
    <row r="46" spans="1:32" s="72" customFormat="1" ht="12.95" customHeight="1">
      <c r="A46" s="82" t="s">
        <v>49</v>
      </c>
      <c r="B46" s="23"/>
      <c r="C46" s="24">
        <v>50046.587</v>
      </c>
      <c r="D46" s="24">
        <v>5.0000000000000001E-3</v>
      </c>
      <c r="E46" s="82">
        <f t="shared" si="0"/>
        <v>42723.327762323519</v>
      </c>
      <c r="F46" s="72">
        <f t="shared" si="1"/>
        <v>42723.5</v>
      </c>
      <c r="G46" s="73">
        <f t="shared" si="4"/>
        <v>-7.4683756552985869E-2</v>
      </c>
      <c r="I46" s="72">
        <f t="shared" si="5"/>
        <v>-7.4683756552985869E-2</v>
      </c>
      <c r="O46" s="72">
        <f t="shared" ca="1" si="2"/>
        <v>-7.0420922120383894E-2</v>
      </c>
      <c r="Q46" s="83">
        <f t="shared" si="3"/>
        <v>35028.087</v>
      </c>
      <c r="AA46" s="72" t="s">
        <v>38</v>
      </c>
      <c r="AB46" s="72">
        <v>12</v>
      </c>
      <c r="AD46" s="72" t="s">
        <v>39</v>
      </c>
      <c r="AF46" s="72" t="s">
        <v>41</v>
      </c>
    </row>
    <row r="47" spans="1:32" s="72" customFormat="1" ht="12.95" customHeight="1">
      <c r="A47" s="82" t="s">
        <v>49</v>
      </c>
      <c r="B47" s="23"/>
      <c r="C47" s="24">
        <v>50152.394999999997</v>
      </c>
      <c r="D47" s="24">
        <v>5.0000000000000001E-3</v>
      </c>
      <c r="E47" s="82">
        <f t="shared" si="0"/>
        <v>42967.345001314468</v>
      </c>
      <c r="F47" s="72">
        <f t="shared" si="1"/>
        <v>42967.5</v>
      </c>
      <c r="G47" s="73">
        <f t="shared" si="4"/>
        <v>-6.7208779946668074E-2</v>
      </c>
      <c r="I47" s="72">
        <f t="shared" si="5"/>
        <v>-6.7208779946668074E-2</v>
      </c>
      <c r="O47" s="72">
        <f t="shared" ca="1" si="2"/>
        <v>-7.0444189240374211E-2</v>
      </c>
      <c r="Q47" s="83">
        <f t="shared" si="3"/>
        <v>35133.894999999997</v>
      </c>
      <c r="AA47" s="72" t="s">
        <v>38</v>
      </c>
      <c r="AB47" s="72">
        <v>13</v>
      </c>
      <c r="AD47" s="72" t="s">
        <v>50</v>
      </c>
      <c r="AF47" s="72" t="s">
        <v>41</v>
      </c>
    </row>
    <row r="48" spans="1:32" s="72" customFormat="1" ht="12.95" customHeight="1">
      <c r="A48" s="82" t="s">
        <v>52</v>
      </c>
      <c r="B48" s="23" t="s">
        <v>53</v>
      </c>
      <c r="C48" s="24">
        <v>50487.567000000003</v>
      </c>
      <c r="D48" s="24">
        <v>4.0000000000000001E-3</v>
      </c>
      <c r="E48" s="82">
        <f t="shared" si="0"/>
        <v>43740.327630483138</v>
      </c>
      <c r="F48" s="72">
        <f t="shared" si="1"/>
        <v>43740.5</v>
      </c>
      <c r="G48" s="73">
        <f t="shared" si="4"/>
        <v>-7.4740923701028805E-2</v>
      </c>
      <c r="I48" s="72">
        <f t="shared" si="5"/>
        <v>-7.4740923701028805E-2</v>
      </c>
      <c r="O48" s="72">
        <f t="shared" ca="1" si="2"/>
        <v>-7.0517900239359915E-2</v>
      </c>
      <c r="Q48" s="83">
        <f t="shared" si="3"/>
        <v>35469.067000000003</v>
      </c>
      <c r="AA48" s="72" t="s">
        <v>51</v>
      </c>
      <c r="AB48" s="72">
        <v>20</v>
      </c>
      <c r="AD48" s="72" t="s">
        <v>39</v>
      </c>
      <c r="AF48" s="72" t="s">
        <v>41</v>
      </c>
    </row>
    <row r="49" spans="1:17" s="72" customFormat="1" ht="12.95" customHeight="1">
      <c r="A49" s="48" t="s">
        <v>198</v>
      </c>
      <c r="B49" s="49" t="s">
        <v>71</v>
      </c>
      <c r="C49" s="48">
        <v>51609.315000000002</v>
      </c>
      <c r="D49" s="48" t="s">
        <v>95</v>
      </c>
      <c r="E49" s="82">
        <f t="shared" si="0"/>
        <v>46327.332864526179</v>
      </c>
      <c r="F49" s="72">
        <f t="shared" si="1"/>
        <v>46327.5</v>
      </c>
      <c r="G49" s="73">
        <f t="shared" si="4"/>
        <v>-7.2471397048502695E-2</v>
      </c>
      <c r="J49" s="72">
        <f>+G49</f>
        <v>-7.2471397048502695E-2</v>
      </c>
      <c r="O49" s="72">
        <f t="shared" ca="1" si="2"/>
        <v>-7.0764588925486691E-2</v>
      </c>
      <c r="Q49" s="83">
        <f t="shared" si="3"/>
        <v>36590.815000000002</v>
      </c>
    </row>
    <row r="50" spans="1:17" s="72" customFormat="1" ht="12.95" customHeight="1">
      <c r="A50" s="22" t="s">
        <v>77</v>
      </c>
      <c r="B50" s="23" t="s">
        <v>71</v>
      </c>
      <c r="C50" s="24">
        <v>51978.750399999997</v>
      </c>
      <c r="D50" s="24">
        <v>2.9999999999999997E-4</v>
      </c>
      <c r="E50" s="82">
        <f t="shared" si="0"/>
        <v>47179.334663005677</v>
      </c>
      <c r="F50" s="72">
        <f t="shared" si="1"/>
        <v>47179.5</v>
      </c>
      <c r="G50" s="73">
        <f t="shared" si="4"/>
        <v>-7.1691560682666022E-2</v>
      </c>
      <c r="N50" s="72">
        <f>+G50</f>
        <v>-7.1691560682666022E-2</v>
      </c>
      <c r="O50" s="72">
        <f t="shared" ca="1" si="2"/>
        <v>-7.0845833131354508E-2</v>
      </c>
      <c r="Q50" s="83">
        <f t="shared" si="3"/>
        <v>36960.250399999997</v>
      </c>
    </row>
    <row r="51" spans="1:17" s="72" customFormat="1" ht="12.95" customHeight="1">
      <c r="A51" s="22" t="s">
        <v>77</v>
      </c>
      <c r="B51" s="23" t="s">
        <v>71</v>
      </c>
      <c r="C51" s="24">
        <v>52311.76</v>
      </c>
      <c r="D51" s="24">
        <v>2.0000000000000001E-4</v>
      </c>
      <c r="E51" s="82">
        <f t="shared" si="0"/>
        <v>47947.330307470023</v>
      </c>
      <c r="F51" s="72">
        <f t="shared" si="1"/>
        <v>47947.5</v>
      </c>
      <c r="G51" s="73">
        <f t="shared" si="4"/>
        <v>-7.3580158867116552E-2</v>
      </c>
      <c r="N51" s="72">
        <f>+G51</f>
        <v>-7.3580158867116552E-2</v>
      </c>
      <c r="O51" s="72">
        <f t="shared" ca="1" si="2"/>
        <v>-7.0919067345094497E-2</v>
      </c>
      <c r="Q51" s="83">
        <f t="shared" si="3"/>
        <v>37293.26</v>
      </c>
    </row>
    <row r="52" spans="1:17" s="72" customFormat="1" ht="12.95" customHeight="1">
      <c r="A52" s="22" t="s">
        <v>63</v>
      </c>
      <c r="B52" s="23" t="s">
        <v>53</v>
      </c>
      <c r="C52" s="24">
        <v>52616.589</v>
      </c>
      <c r="D52" s="24">
        <v>5.0000000000000001E-3</v>
      </c>
      <c r="E52" s="82">
        <f t="shared" si="0"/>
        <v>48650.335098642463</v>
      </c>
      <c r="F52" s="72">
        <f t="shared" si="1"/>
        <v>48650.5</v>
      </c>
      <c r="G52" s="73">
        <f t="shared" si="4"/>
        <v>-7.1502664774016012E-2</v>
      </c>
      <c r="J52" s="72">
        <f>+G52</f>
        <v>-7.1502664774016012E-2</v>
      </c>
      <c r="O52" s="72">
        <f t="shared" ca="1" si="2"/>
        <v>-7.0986103350640359E-2</v>
      </c>
      <c r="Q52" s="83">
        <f t="shared" si="3"/>
        <v>37598.089</v>
      </c>
    </row>
    <row r="53" spans="1:17" s="72" customFormat="1" ht="12.95" customHeight="1">
      <c r="A53" s="22" t="s">
        <v>77</v>
      </c>
      <c r="B53" s="23" t="s">
        <v>53</v>
      </c>
      <c r="C53" s="24">
        <v>53393.614200000004</v>
      </c>
      <c r="D53" s="24">
        <v>8.0000000000000004E-4</v>
      </c>
      <c r="E53" s="82">
        <f t="shared" ref="E53:E84" si="6">+(C53-C$7)/C$8</f>
        <v>50442.331393160799</v>
      </c>
      <c r="F53" s="72">
        <f t="shared" ref="F53:F84" si="7">ROUND(2*E53,0)/2</f>
        <v>50442.5</v>
      </c>
      <c r="G53" s="73">
        <f t="shared" si="4"/>
        <v>-7.3109393888444174E-2</v>
      </c>
      <c r="N53" s="72">
        <f>+G53</f>
        <v>-7.3109393888444174E-2</v>
      </c>
      <c r="O53" s="72">
        <f t="shared" ref="O53:O84" ca="1" si="8">+C$11+C$12*F53</f>
        <v>-7.1156983182700348E-2</v>
      </c>
      <c r="Q53" s="83">
        <f t="shared" ref="Q53:Q84" si="9">+C53-15018.5</f>
        <v>38375.114200000004</v>
      </c>
    </row>
    <row r="54" spans="1:17" s="72" customFormat="1" ht="12.95" customHeight="1">
      <c r="A54" s="22" t="s">
        <v>59</v>
      </c>
      <c r="B54" s="23" t="s">
        <v>53</v>
      </c>
      <c r="C54" s="24">
        <v>53408.355900000002</v>
      </c>
      <c r="D54" s="24">
        <v>2.0000000000000001E-4</v>
      </c>
      <c r="E54" s="82">
        <f t="shared" si="6"/>
        <v>50476.329095905698</v>
      </c>
      <c r="F54" s="72">
        <f t="shared" si="7"/>
        <v>50476.5</v>
      </c>
      <c r="G54" s="73">
        <f t="shared" si="4"/>
        <v>-7.4105503714235965E-2</v>
      </c>
      <c r="J54" s="72">
        <f>+G54</f>
        <v>-7.4105503714235965E-2</v>
      </c>
      <c r="O54" s="72">
        <f t="shared" ca="1" si="8"/>
        <v>-7.1160225322371137E-2</v>
      </c>
      <c r="Q54" s="83">
        <f t="shared" si="9"/>
        <v>38389.855900000002</v>
      </c>
    </row>
    <row r="55" spans="1:17" s="72" customFormat="1" ht="12.95" customHeight="1">
      <c r="A55" s="22" t="s">
        <v>77</v>
      </c>
      <c r="B55" s="23" t="s">
        <v>53</v>
      </c>
      <c r="C55" s="24">
        <v>53438.709699999999</v>
      </c>
      <c r="D55" s="24">
        <v>2.0000000000000001E-4</v>
      </c>
      <c r="E55" s="82">
        <f t="shared" si="6"/>
        <v>50546.331841150699</v>
      </c>
      <c r="F55" s="72">
        <f t="shared" si="7"/>
        <v>50546.5</v>
      </c>
      <c r="G55" s="73">
        <f t="shared" si="4"/>
        <v>-7.2915141565317754E-2</v>
      </c>
      <c r="N55" s="72">
        <f>+G55</f>
        <v>-7.2915141565317754E-2</v>
      </c>
      <c r="O55" s="72">
        <f t="shared" ca="1" si="8"/>
        <v>-7.116690031581098E-2</v>
      </c>
      <c r="Q55" s="83">
        <f t="shared" si="9"/>
        <v>38420.209699999999</v>
      </c>
    </row>
    <row r="56" spans="1:17" s="72" customFormat="1" ht="12.95" customHeight="1">
      <c r="A56" s="24" t="s">
        <v>70</v>
      </c>
      <c r="B56" s="23" t="s">
        <v>71</v>
      </c>
      <c r="C56" s="24">
        <v>54043.592999999877</v>
      </c>
      <c r="D56" s="24">
        <v>3.0000000000000001E-3</v>
      </c>
      <c r="E56" s="82">
        <f t="shared" si="6"/>
        <v>51941.329882675993</v>
      </c>
      <c r="F56" s="72">
        <f t="shared" si="7"/>
        <v>51941.5</v>
      </c>
      <c r="G56" s="73">
        <f t="shared" si="4"/>
        <v>-7.3764353262959048E-2</v>
      </c>
      <c r="N56" s="72">
        <f>+G56</f>
        <v>-7.3764353262959048E-2</v>
      </c>
      <c r="O56" s="72">
        <f t="shared" ca="1" si="8"/>
        <v>-7.1299923399362142E-2</v>
      </c>
      <c r="Q56" s="83">
        <f t="shared" si="9"/>
        <v>39025.092999999877</v>
      </c>
    </row>
    <row r="57" spans="1:17" s="72" customFormat="1" ht="12.95" customHeight="1">
      <c r="A57" s="48" t="s">
        <v>229</v>
      </c>
      <c r="B57" s="49" t="s">
        <v>71</v>
      </c>
      <c r="C57" s="48">
        <v>54043.593000000001</v>
      </c>
      <c r="D57" s="48" t="s">
        <v>95</v>
      </c>
      <c r="E57" s="82">
        <f t="shared" si="6"/>
        <v>51941.329882676277</v>
      </c>
      <c r="F57" s="72">
        <f t="shared" si="7"/>
        <v>51941.5</v>
      </c>
      <c r="G57" s="73">
        <f t="shared" si="4"/>
        <v>-7.3764353139267769E-2</v>
      </c>
      <c r="J57" s="72">
        <f>+G57</f>
        <v>-7.3764353139267769E-2</v>
      </c>
      <c r="O57" s="72">
        <f t="shared" ca="1" si="8"/>
        <v>-7.1299923399362142E-2</v>
      </c>
      <c r="Q57" s="83">
        <f t="shared" si="9"/>
        <v>39025.093000000001</v>
      </c>
    </row>
    <row r="58" spans="1:17" s="72" customFormat="1" ht="12.95" customHeight="1">
      <c r="A58" s="22" t="s">
        <v>77</v>
      </c>
      <c r="B58" s="23" t="s">
        <v>53</v>
      </c>
      <c r="C58" s="24">
        <v>54156.765200000002</v>
      </c>
      <c r="D58" s="24">
        <v>2.9999999999999997E-4</v>
      </c>
      <c r="E58" s="82">
        <f t="shared" si="6"/>
        <v>52202.330636631865</v>
      </c>
      <c r="F58" s="72">
        <f t="shared" si="7"/>
        <v>52202.5</v>
      </c>
      <c r="G58" s="73">
        <f t="shared" si="4"/>
        <v>-7.3437431427009869E-2</v>
      </c>
      <c r="N58" s="72">
        <f>+G58</f>
        <v>-7.3437431427009869E-2</v>
      </c>
      <c r="O58" s="72">
        <f t="shared" ca="1" si="8"/>
        <v>-7.1324811589187853E-2</v>
      </c>
      <c r="Q58" s="83">
        <f t="shared" si="9"/>
        <v>39138.265200000002</v>
      </c>
    </row>
    <row r="59" spans="1:17" s="72" customFormat="1" ht="12.95" customHeight="1">
      <c r="A59" s="22" t="s">
        <v>77</v>
      </c>
      <c r="B59" s="23" t="s">
        <v>71</v>
      </c>
      <c r="C59" s="24">
        <v>54499.750500000002</v>
      </c>
      <c r="D59" s="24">
        <v>2.0000000000000001E-4</v>
      </c>
      <c r="E59" s="82">
        <f t="shared" si="6"/>
        <v>52993.332507194435</v>
      </c>
      <c r="F59" s="72">
        <f t="shared" si="7"/>
        <v>52993.5</v>
      </c>
      <c r="G59" s="73">
        <f t="shared" si="4"/>
        <v>-7.2626339206181001E-2</v>
      </c>
      <c r="N59" s="72">
        <f>+G59</f>
        <v>-7.2626339206181001E-2</v>
      </c>
      <c r="O59" s="72">
        <f t="shared" ca="1" si="8"/>
        <v>-7.1400239015058084E-2</v>
      </c>
      <c r="Q59" s="83">
        <f t="shared" si="9"/>
        <v>39481.250500000002</v>
      </c>
    </row>
    <row r="60" spans="1:17" s="72" customFormat="1" ht="12.95" customHeight="1">
      <c r="A60" s="22" t="s">
        <v>77</v>
      </c>
      <c r="B60" s="23" t="s">
        <v>71</v>
      </c>
      <c r="C60" s="24">
        <v>54513.624900000003</v>
      </c>
      <c r="D60" s="24">
        <v>1E-4</v>
      </c>
      <c r="E60" s="82">
        <f t="shared" si="6"/>
        <v>53025.330019487046</v>
      </c>
      <c r="F60" s="72">
        <f t="shared" si="7"/>
        <v>53025.5</v>
      </c>
      <c r="G60" s="73">
        <f t="shared" si="4"/>
        <v>-7.3705030801647808E-2</v>
      </c>
      <c r="N60" s="72">
        <f>+G60</f>
        <v>-7.3705030801647808E-2</v>
      </c>
      <c r="O60" s="72">
        <f t="shared" ca="1" si="8"/>
        <v>-7.1403290440630582E-2</v>
      </c>
      <c r="Q60" s="83">
        <f t="shared" si="9"/>
        <v>39495.124900000003</v>
      </c>
    </row>
    <row r="61" spans="1:17" s="72" customFormat="1" ht="12.95" customHeight="1">
      <c r="A61" s="22" t="s">
        <v>73</v>
      </c>
      <c r="B61" s="84" t="s">
        <v>53</v>
      </c>
      <c r="C61" s="85">
        <v>54797.639000000003</v>
      </c>
      <c r="D61" s="85">
        <v>3.0000000000000001E-3</v>
      </c>
      <c r="E61" s="82">
        <f t="shared" si="6"/>
        <v>53680.330931672339</v>
      </c>
      <c r="F61" s="72">
        <f t="shared" si="7"/>
        <v>53680.5</v>
      </c>
      <c r="G61" s="73">
        <f t="shared" si="4"/>
        <v>-7.3309499312017579E-2</v>
      </c>
      <c r="N61" s="72">
        <f>+G61</f>
        <v>-7.3309499312017579E-2</v>
      </c>
      <c r="O61" s="72">
        <f t="shared" ca="1" si="8"/>
        <v>-7.1465749307817683E-2</v>
      </c>
      <c r="Q61" s="83">
        <f t="shared" si="9"/>
        <v>39779.139000000003</v>
      </c>
    </row>
    <row r="62" spans="1:17" s="72" customFormat="1" ht="12.95" customHeight="1">
      <c r="A62" s="48" t="s">
        <v>254</v>
      </c>
      <c r="B62" s="49" t="s">
        <v>71</v>
      </c>
      <c r="C62" s="48">
        <v>54841.433400000002</v>
      </c>
      <c r="D62" s="48" t="s">
        <v>95</v>
      </c>
      <c r="E62" s="82">
        <f t="shared" si="6"/>
        <v>53781.33074804979</v>
      </c>
      <c r="F62" s="72">
        <f t="shared" si="7"/>
        <v>53781.5</v>
      </c>
      <c r="G62" s="73">
        <f t="shared" si="4"/>
        <v>-7.3389119650528301E-2</v>
      </c>
      <c r="J62" s="72">
        <f>+G62</f>
        <v>-7.3389119650528301E-2</v>
      </c>
      <c r="O62" s="72">
        <f t="shared" ca="1" si="8"/>
        <v>-7.1475380369780891E-2</v>
      </c>
      <c r="Q62" s="83">
        <f t="shared" si="9"/>
        <v>39822.933400000002</v>
      </c>
    </row>
    <row r="63" spans="1:17" s="72" customFormat="1" ht="12.95" customHeight="1">
      <c r="A63" s="22" t="s">
        <v>72</v>
      </c>
      <c r="B63" s="23" t="s">
        <v>71</v>
      </c>
      <c r="C63" s="24">
        <v>54841.433490000003</v>
      </c>
      <c r="D63" s="24">
        <v>2.9999999999999997E-4</v>
      </c>
      <c r="E63" s="82">
        <f t="shared" si="6"/>
        <v>53781.330955610196</v>
      </c>
      <c r="F63" s="72">
        <f t="shared" si="7"/>
        <v>53781.5</v>
      </c>
      <c r="G63" s="73">
        <f t="shared" ref="G63:G91" si="10">+C63-(C$7+F63*C$8)</f>
        <v>-7.3299119649163913E-2</v>
      </c>
      <c r="N63" s="72">
        <f>+G63</f>
        <v>-7.3299119649163913E-2</v>
      </c>
      <c r="O63" s="72">
        <f t="shared" ca="1" si="8"/>
        <v>-7.1475380369780891E-2</v>
      </c>
      <c r="Q63" s="83">
        <f t="shared" si="9"/>
        <v>39822.933490000003</v>
      </c>
    </row>
    <row r="64" spans="1:17" s="72" customFormat="1" ht="12.95" customHeight="1">
      <c r="A64" s="22" t="s">
        <v>78</v>
      </c>
      <c r="B64" s="23" t="s">
        <v>71</v>
      </c>
      <c r="C64" s="24">
        <v>55191.789199999999</v>
      </c>
      <c r="D64" s="24">
        <v>2.9999999999999997E-4</v>
      </c>
      <c r="E64" s="82">
        <f t="shared" si="6"/>
        <v>54589.330662805449</v>
      </c>
      <c r="F64" s="72">
        <f t="shared" si="7"/>
        <v>54589.5</v>
      </c>
      <c r="G64" s="73">
        <f t="shared" si="10"/>
        <v>-7.3426082337391563E-2</v>
      </c>
      <c r="N64" s="72">
        <f>+G64</f>
        <v>-7.3426082337391563E-2</v>
      </c>
      <c r="O64" s="72">
        <f t="shared" ca="1" si="8"/>
        <v>-7.1552428865486517E-2</v>
      </c>
      <c r="Q64" s="83">
        <f t="shared" si="9"/>
        <v>40173.289199999999</v>
      </c>
    </row>
    <row r="65" spans="1:17" s="72" customFormat="1" ht="12.95" customHeight="1">
      <c r="A65" s="22" t="s">
        <v>78</v>
      </c>
      <c r="B65" s="23" t="s">
        <v>71</v>
      </c>
      <c r="C65" s="24">
        <v>55238.619200000001</v>
      </c>
      <c r="D65" s="24">
        <v>1E-4</v>
      </c>
      <c r="E65" s="82">
        <f t="shared" si="6"/>
        <v>54697.331261077285</v>
      </c>
      <c r="F65" s="72">
        <f t="shared" si="7"/>
        <v>54697.5</v>
      </c>
      <c r="G65" s="73">
        <f t="shared" si="10"/>
        <v>-7.3166666450561024E-2</v>
      </c>
      <c r="N65" s="72">
        <f>+G65</f>
        <v>-7.3166666450561024E-2</v>
      </c>
      <c r="O65" s="72">
        <f t="shared" ca="1" si="8"/>
        <v>-7.1562727426793704E-2</v>
      </c>
      <c r="Q65" s="83">
        <f t="shared" si="9"/>
        <v>40220.119200000001</v>
      </c>
    </row>
    <row r="66" spans="1:17" s="72" customFormat="1" ht="12.95" customHeight="1">
      <c r="A66" s="22" t="s">
        <v>78</v>
      </c>
      <c r="B66" s="23" t="s">
        <v>71</v>
      </c>
      <c r="C66" s="24">
        <v>55244.690300000002</v>
      </c>
      <c r="D66" s="24">
        <v>1E-4</v>
      </c>
      <c r="E66" s="82">
        <f t="shared" si="6"/>
        <v>54711.33259424338</v>
      </c>
      <c r="F66" s="72">
        <f t="shared" si="7"/>
        <v>54711.5</v>
      </c>
      <c r="G66" s="73">
        <f t="shared" si="10"/>
        <v>-7.2588594026456121E-2</v>
      </c>
      <c r="N66" s="72">
        <f>+G66</f>
        <v>-7.2588594026456121E-2</v>
      </c>
      <c r="O66" s="72">
        <f t="shared" ca="1" si="8"/>
        <v>-7.1564062425481662E-2</v>
      </c>
      <c r="Q66" s="83">
        <f t="shared" si="9"/>
        <v>40226.190300000002</v>
      </c>
    </row>
    <row r="67" spans="1:17" s="72" customFormat="1" ht="12.95" customHeight="1">
      <c r="A67" s="24" t="s">
        <v>79</v>
      </c>
      <c r="B67" s="23" t="s">
        <v>53</v>
      </c>
      <c r="C67" s="24">
        <v>55577.701300000001</v>
      </c>
      <c r="D67" s="24">
        <v>2.0000000000000001E-4</v>
      </c>
      <c r="E67" s="82">
        <f t="shared" si="6"/>
        <v>55479.331467425152</v>
      </c>
      <c r="F67" s="72">
        <f t="shared" si="7"/>
        <v>55479.5</v>
      </c>
      <c r="G67" s="73">
        <f t="shared" si="10"/>
        <v>-7.3077192224445753E-2</v>
      </c>
      <c r="N67" s="72">
        <f>+G67</f>
        <v>-7.3077192224445753E-2</v>
      </c>
      <c r="O67" s="72">
        <f t="shared" ca="1" si="8"/>
        <v>-7.1637296639221665E-2</v>
      </c>
      <c r="Q67" s="83">
        <f t="shared" si="9"/>
        <v>40559.201300000001</v>
      </c>
    </row>
    <row r="68" spans="1:17" s="72" customFormat="1" ht="12.95" customHeight="1">
      <c r="A68" s="33" t="s">
        <v>84</v>
      </c>
      <c r="B68" s="33"/>
      <c r="C68" s="34">
        <v>55599.381699999998</v>
      </c>
      <c r="D68" s="34">
        <v>1.1000000000000001E-3</v>
      </c>
      <c r="E68" s="82">
        <f t="shared" si="6"/>
        <v>55529.331385656471</v>
      </c>
      <c r="F68" s="72">
        <f t="shared" si="7"/>
        <v>55529.5</v>
      </c>
      <c r="G68" s="73">
        <f t="shared" si="10"/>
        <v>-7.3112647834932432E-2</v>
      </c>
      <c r="J68" s="72">
        <f>+G68</f>
        <v>-7.3112647834932432E-2</v>
      </c>
      <c r="O68" s="72">
        <f t="shared" ca="1" si="8"/>
        <v>-7.1642064491678689E-2</v>
      </c>
      <c r="Q68" s="83">
        <f t="shared" si="9"/>
        <v>40580.881699999998</v>
      </c>
    </row>
    <row r="69" spans="1:17" s="72" customFormat="1" ht="12.95" customHeight="1">
      <c r="A69" s="55" t="s">
        <v>76</v>
      </c>
      <c r="B69" s="56" t="s">
        <v>71</v>
      </c>
      <c r="C69" s="55">
        <v>55616.7287</v>
      </c>
      <c r="D69" s="55">
        <v>1.8E-3</v>
      </c>
      <c r="E69" s="82">
        <f t="shared" si="6"/>
        <v>55569.337500929192</v>
      </c>
      <c r="F69" s="72">
        <f t="shared" si="7"/>
        <v>55569.5</v>
      </c>
      <c r="G69" s="73">
        <f t="shared" si="10"/>
        <v>-7.0461012328451034E-2</v>
      </c>
      <c r="J69" s="72">
        <f>+G69</f>
        <v>-7.0461012328451034E-2</v>
      </c>
      <c r="O69" s="72">
        <f t="shared" ca="1" si="8"/>
        <v>-7.1645878773644325E-2</v>
      </c>
      <c r="Q69" s="83">
        <f t="shared" si="9"/>
        <v>40598.2287</v>
      </c>
    </row>
    <row r="70" spans="1:17" s="72" customFormat="1" ht="12.95" customHeight="1">
      <c r="A70" s="22" t="s">
        <v>81</v>
      </c>
      <c r="B70" s="23" t="s">
        <v>71</v>
      </c>
      <c r="C70" s="24">
        <v>55969.684099999999</v>
      </c>
      <c r="D70" s="24">
        <v>2.0000000000000001E-4</v>
      </c>
      <c r="E70" s="82">
        <f t="shared" si="6"/>
        <v>56383.332682720247</v>
      </c>
      <c r="F70" s="72">
        <f t="shared" si="7"/>
        <v>56383.5</v>
      </c>
      <c r="G70" s="73">
        <f t="shared" si="10"/>
        <v>-7.2550229684566148E-2</v>
      </c>
      <c r="N70" s="72">
        <f>+G70</f>
        <v>-7.2550229684566148E-2</v>
      </c>
      <c r="O70" s="72">
        <f t="shared" ca="1" si="8"/>
        <v>-7.1723499411644784E-2</v>
      </c>
      <c r="Q70" s="83">
        <f t="shared" si="9"/>
        <v>40951.184099999999</v>
      </c>
    </row>
    <row r="71" spans="1:17" s="72" customFormat="1" ht="12.95" customHeight="1">
      <c r="A71" s="24" t="s">
        <v>80</v>
      </c>
      <c r="B71" s="23" t="s">
        <v>71</v>
      </c>
      <c r="C71" s="24">
        <v>55982.6947</v>
      </c>
      <c r="D71" s="24">
        <v>5.0000000000000001E-4</v>
      </c>
      <c r="E71" s="82">
        <f t="shared" si="6"/>
        <v>56413.33807635415</v>
      </c>
      <c r="F71" s="72">
        <f t="shared" si="7"/>
        <v>56413.5</v>
      </c>
      <c r="G71" s="73">
        <f t="shared" si="10"/>
        <v>-7.0211503050813917E-2</v>
      </c>
      <c r="J71" s="72">
        <f>+G71</f>
        <v>-7.0211503050813917E-2</v>
      </c>
      <c r="O71" s="72">
        <f t="shared" ca="1" si="8"/>
        <v>-7.1726360123119004E-2</v>
      </c>
      <c r="Q71" s="83">
        <f t="shared" si="9"/>
        <v>40964.1947</v>
      </c>
    </row>
    <row r="72" spans="1:17" s="72" customFormat="1" ht="12.95" customHeight="1">
      <c r="A72" s="22" t="s">
        <v>82</v>
      </c>
      <c r="B72" s="23" t="s">
        <v>71</v>
      </c>
      <c r="C72" s="24">
        <v>56328.712899999999</v>
      </c>
      <c r="D72" s="24">
        <v>2.0000000000000001E-4</v>
      </c>
      <c r="E72" s="82">
        <f t="shared" si="6"/>
        <v>57211.334501998906</v>
      </c>
      <c r="F72" s="72">
        <f t="shared" si="7"/>
        <v>57211.5</v>
      </c>
      <c r="G72" s="73">
        <f t="shared" si="10"/>
        <v>-7.1761374616471585E-2</v>
      </c>
      <c r="N72" s="72">
        <f>+G72</f>
        <v>-7.1761374616471585E-2</v>
      </c>
      <c r="O72" s="72">
        <f t="shared" ca="1" si="8"/>
        <v>-7.1802455048333214E-2</v>
      </c>
      <c r="Q72" s="83">
        <f t="shared" si="9"/>
        <v>41310.212899999999</v>
      </c>
    </row>
    <row r="73" spans="1:17" s="72" customFormat="1" ht="12.95" customHeight="1">
      <c r="A73" s="22" t="s">
        <v>83</v>
      </c>
      <c r="B73" s="23" t="s">
        <v>71</v>
      </c>
      <c r="C73" s="24">
        <v>56753.6495</v>
      </c>
      <c r="D73" s="24">
        <v>1E-4</v>
      </c>
      <c r="E73" s="82">
        <f t="shared" si="6"/>
        <v>58191.334652065103</v>
      </c>
      <c r="F73" s="72">
        <f t="shared" si="7"/>
        <v>58191.5</v>
      </c>
      <c r="G73" s="73">
        <f t="shared" si="10"/>
        <v>-7.1696304599754512E-2</v>
      </c>
      <c r="N73" s="72">
        <f>+G73</f>
        <v>-7.1696304599754512E-2</v>
      </c>
      <c r="O73" s="72">
        <f t="shared" ca="1" si="8"/>
        <v>-7.1895904956491036E-2</v>
      </c>
      <c r="Q73" s="83">
        <f t="shared" si="9"/>
        <v>41735.1495</v>
      </c>
    </row>
    <row r="74" spans="1:17" s="72" customFormat="1" ht="12.95" customHeight="1">
      <c r="A74" s="48" t="s">
        <v>305</v>
      </c>
      <c r="B74" s="49" t="s">
        <v>71</v>
      </c>
      <c r="C74" s="48">
        <v>57006.875999999997</v>
      </c>
      <c r="D74" s="48" t="s">
        <v>95</v>
      </c>
      <c r="E74" s="82">
        <f t="shared" si="6"/>
        <v>58775.332377845225</v>
      </c>
      <c r="F74" s="72">
        <f t="shared" si="7"/>
        <v>58775.5</v>
      </c>
      <c r="G74" s="73">
        <f t="shared" si="10"/>
        <v>-7.268242615100462E-2</v>
      </c>
      <c r="J74" s="72">
        <f>+G74</f>
        <v>-7.268242615100462E-2</v>
      </c>
      <c r="O74" s="72">
        <f t="shared" ca="1" si="8"/>
        <v>-7.1951593473189149E-2</v>
      </c>
      <c r="Q74" s="83">
        <f t="shared" si="9"/>
        <v>41988.375999999997</v>
      </c>
    </row>
    <row r="75" spans="1:17" s="72" customFormat="1" ht="12.95" customHeight="1">
      <c r="A75" s="55" t="s">
        <v>311</v>
      </c>
      <c r="B75" s="56" t="s">
        <v>71</v>
      </c>
      <c r="C75" s="24">
        <v>57006.875999999997</v>
      </c>
      <c r="D75" s="24">
        <v>1E-4</v>
      </c>
      <c r="E75" s="82">
        <f t="shared" si="6"/>
        <v>58775.332377845225</v>
      </c>
      <c r="F75" s="72">
        <f t="shared" si="7"/>
        <v>58775.5</v>
      </c>
      <c r="G75" s="73">
        <f t="shared" si="10"/>
        <v>-7.268242615100462E-2</v>
      </c>
      <c r="K75" s="72">
        <f>+G75</f>
        <v>-7.268242615100462E-2</v>
      </c>
      <c r="O75" s="72">
        <f t="shared" ca="1" si="8"/>
        <v>-7.1951593473189149E-2</v>
      </c>
      <c r="Q75" s="83">
        <f t="shared" si="9"/>
        <v>41988.375999999997</v>
      </c>
    </row>
    <row r="76" spans="1:17" s="72" customFormat="1" ht="12.95" customHeight="1">
      <c r="A76" s="52" t="s">
        <v>85</v>
      </c>
      <c r="B76" s="23"/>
      <c r="C76" s="52">
        <v>57069.317199999998</v>
      </c>
      <c r="D76" s="52">
        <v>2.5000000000000001E-3</v>
      </c>
      <c r="E76" s="82">
        <f t="shared" si="6"/>
        <v>58919.335943013095</v>
      </c>
      <c r="F76" s="72">
        <f t="shared" si="7"/>
        <v>58919.5</v>
      </c>
      <c r="G76" s="73">
        <f t="shared" si="10"/>
        <v>-7.1136538310383912E-2</v>
      </c>
      <c r="J76" s="72">
        <f>+G76</f>
        <v>-7.1136538310383912E-2</v>
      </c>
      <c r="O76" s="72">
        <f t="shared" ca="1" si="8"/>
        <v>-7.1965324888265403E-2</v>
      </c>
      <c r="Q76" s="83">
        <f t="shared" si="9"/>
        <v>42050.817199999998</v>
      </c>
    </row>
    <row r="77" spans="1:17" s="72" customFormat="1" ht="12.95" customHeight="1">
      <c r="A77" s="55" t="s">
        <v>313</v>
      </c>
      <c r="B77" s="56" t="s">
        <v>71</v>
      </c>
      <c r="C77" s="24">
        <v>57105.740299999998</v>
      </c>
      <c r="D77" s="24">
        <v>1E-4</v>
      </c>
      <c r="E77" s="82">
        <f t="shared" si="6"/>
        <v>59003.335870216062</v>
      </c>
      <c r="F77" s="72">
        <f t="shared" si="7"/>
        <v>59003.5</v>
      </c>
      <c r="G77" s="73">
        <f t="shared" si="10"/>
        <v>-7.1168103742820676E-2</v>
      </c>
      <c r="K77" s="72">
        <f t="shared" ref="K77:K94" si="11">+G77</f>
        <v>-7.1168103742820676E-2</v>
      </c>
      <c r="O77" s="72">
        <f t="shared" ca="1" si="8"/>
        <v>-7.1973334880393217E-2</v>
      </c>
      <c r="Q77" s="83">
        <f t="shared" si="9"/>
        <v>42087.240299999998</v>
      </c>
    </row>
    <row r="78" spans="1:17" s="72" customFormat="1" ht="12.95" customHeight="1">
      <c r="A78" s="53" t="s">
        <v>1</v>
      </c>
      <c r="B78" s="54" t="s">
        <v>71</v>
      </c>
      <c r="C78" s="53">
        <v>57404.062100000003</v>
      </c>
      <c r="D78" s="53" t="s">
        <v>317</v>
      </c>
      <c r="E78" s="82">
        <f t="shared" si="6"/>
        <v>59691.333582740765</v>
      </c>
      <c r="F78" s="72">
        <f t="shared" si="7"/>
        <v>59691.5</v>
      </c>
      <c r="G78" s="73">
        <f t="shared" si="10"/>
        <v>-7.2159972951340023E-2</v>
      </c>
      <c r="K78" s="72">
        <f t="shared" si="11"/>
        <v>-7.2159972951340023E-2</v>
      </c>
      <c r="O78" s="72">
        <f t="shared" ca="1" si="8"/>
        <v>-7.2038940530201961E-2</v>
      </c>
      <c r="Q78" s="83">
        <f t="shared" si="9"/>
        <v>42385.562100000003</v>
      </c>
    </row>
    <row r="79" spans="1:17" s="72" customFormat="1" ht="12.95" customHeight="1">
      <c r="A79" s="55" t="s">
        <v>314</v>
      </c>
      <c r="B79" s="56" t="s">
        <v>71</v>
      </c>
      <c r="C79" s="24">
        <v>57432.679900000003</v>
      </c>
      <c r="D79" s="24">
        <v>1E-4</v>
      </c>
      <c r="E79" s="82">
        <f t="shared" si="6"/>
        <v>59757.33271836373</v>
      </c>
      <c r="F79" s="72">
        <f t="shared" si="7"/>
        <v>59757.5</v>
      </c>
      <c r="G79" s="73">
        <f t="shared" si="10"/>
        <v>-7.2534774357336573E-2</v>
      </c>
      <c r="K79" s="72">
        <f t="shared" si="11"/>
        <v>-7.2534774357336573E-2</v>
      </c>
      <c r="O79" s="72">
        <f t="shared" ca="1" si="8"/>
        <v>-7.2045234095445249E-2</v>
      </c>
      <c r="Q79" s="83">
        <f t="shared" si="9"/>
        <v>42414.179900000003</v>
      </c>
    </row>
    <row r="80" spans="1:17" s="72" customFormat="1" ht="12.95" customHeight="1">
      <c r="A80" s="55" t="s">
        <v>312</v>
      </c>
      <c r="B80" s="56" t="s">
        <v>71</v>
      </c>
      <c r="C80" s="24">
        <v>57445.688199999997</v>
      </c>
      <c r="D80" s="24">
        <v>2.0000000000000001E-4</v>
      </c>
      <c r="E80" s="82">
        <f t="shared" si="6"/>
        <v>59787.332807676117</v>
      </c>
      <c r="F80" s="72">
        <f t="shared" si="7"/>
        <v>59787.5</v>
      </c>
      <c r="G80" s="73">
        <f t="shared" si="10"/>
        <v>-7.2496047730965074E-2</v>
      </c>
      <c r="K80" s="72">
        <f t="shared" si="11"/>
        <v>-7.2496047730965074E-2</v>
      </c>
      <c r="O80" s="72">
        <f t="shared" ca="1" si="8"/>
        <v>-7.2048094806919455E-2</v>
      </c>
      <c r="Q80" s="83">
        <f t="shared" si="9"/>
        <v>42427.188199999997</v>
      </c>
    </row>
    <row r="81" spans="1:17" s="72" customFormat="1" ht="12.95" customHeight="1">
      <c r="A81" s="55" t="s">
        <v>314</v>
      </c>
      <c r="B81" s="56" t="s">
        <v>71</v>
      </c>
      <c r="C81" s="24">
        <v>57698.915500000003</v>
      </c>
      <c r="D81" s="24">
        <v>1E-4</v>
      </c>
      <c r="E81" s="82">
        <f t="shared" si="6"/>
        <v>60371.332378437648</v>
      </c>
      <c r="F81" s="72">
        <f t="shared" si="7"/>
        <v>60371.5</v>
      </c>
      <c r="G81" s="73">
        <f t="shared" si="10"/>
        <v>-7.2682169273321051E-2</v>
      </c>
      <c r="K81" s="72">
        <f t="shared" si="11"/>
        <v>-7.2682169273321051E-2</v>
      </c>
      <c r="O81" s="72">
        <f t="shared" ca="1" si="8"/>
        <v>-7.2103783323617582E-2</v>
      </c>
      <c r="Q81" s="83">
        <f t="shared" si="9"/>
        <v>42680.415500000003</v>
      </c>
    </row>
    <row r="82" spans="1:17" s="72" customFormat="1" ht="12.95" customHeight="1">
      <c r="A82" s="55" t="s">
        <v>314</v>
      </c>
      <c r="B82" s="56" t="s">
        <v>71</v>
      </c>
      <c r="C82" s="24">
        <v>57745.744899999998</v>
      </c>
      <c r="D82" s="24">
        <v>1E-4</v>
      </c>
      <c r="E82" s="82">
        <f t="shared" si="6"/>
        <v>60479.331592973424</v>
      </c>
      <c r="F82" s="72">
        <f t="shared" si="7"/>
        <v>60479.5</v>
      </c>
      <c r="G82" s="73">
        <f t="shared" si="10"/>
        <v>-7.3022753400437068E-2</v>
      </c>
      <c r="K82" s="72">
        <f t="shared" si="11"/>
        <v>-7.3022753400437068E-2</v>
      </c>
      <c r="O82" s="72">
        <f t="shared" ca="1" si="8"/>
        <v>-7.2114081884924769E-2</v>
      </c>
      <c r="Q82" s="83">
        <f t="shared" si="9"/>
        <v>42727.244899999998</v>
      </c>
    </row>
    <row r="83" spans="1:17" s="72" customFormat="1" ht="12.95" customHeight="1">
      <c r="A83" s="59" t="s">
        <v>318</v>
      </c>
      <c r="B83" s="60" t="s">
        <v>71</v>
      </c>
      <c r="C83" s="61">
        <v>57785.6371</v>
      </c>
      <c r="D83" s="61">
        <v>1E-4</v>
      </c>
      <c r="E83" s="82">
        <f t="shared" si="6"/>
        <v>60571.332051362915</v>
      </c>
      <c r="F83" s="72">
        <f t="shared" si="7"/>
        <v>60571.5</v>
      </c>
      <c r="G83" s="73">
        <f t="shared" si="10"/>
        <v>-7.2823991722543724E-2</v>
      </c>
      <c r="K83" s="72">
        <f t="shared" si="11"/>
        <v>-7.2823991722543724E-2</v>
      </c>
      <c r="O83" s="72">
        <f t="shared" ca="1" si="8"/>
        <v>-7.2122854733445707E-2</v>
      </c>
      <c r="Q83" s="83">
        <f t="shared" si="9"/>
        <v>42767.1371</v>
      </c>
    </row>
    <row r="84" spans="1:17" s="72" customFormat="1" ht="12.95" customHeight="1">
      <c r="A84" s="57" t="s">
        <v>315</v>
      </c>
      <c r="B84" s="58" t="s">
        <v>71</v>
      </c>
      <c r="C84" s="53">
        <v>57811.654499999997</v>
      </c>
      <c r="D84" s="53">
        <v>1E-4</v>
      </c>
      <c r="E84" s="82">
        <f t="shared" si="6"/>
        <v>60631.334074969098</v>
      </c>
      <c r="F84" s="72">
        <f t="shared" si="7"/>
        <v>60631.5</v>
      </c>
      <c r="G84" s="73">
        <f t="shared" si="10"/>
        <v>-7.1946538460906595E-2</v>
      </c>
      <c r="K84" s="72">
        <f t="shared" si="11"/>
        <v>-7.1946538460906595E-2</v>
      </c>
      <c r="O84" s="72">
        <f t="shared" ca="1" si="8"/>
        <v>-7.2128576156394147E-2</v>
      </c>
      <c r="Q84" s="83">
        <f t="shared" si="9"/>
        <v>42793.154499999997</v>
      </c>
    </row>
    <row r="85" spans="1:17" s="72" customFormat="1" ht="12.95" customHeight="1">
      <c r="A85" s="57" t="s">
        <v>316</v>
      </c>
      <c r="B85" s="54" t="s">
        <v>71</v>
      </c>
      <c r="C85" s="57">
        <v>58070.951500000003</v>
      </c>
      <c r="D85" s="57">
        <v>1E-4</v>
      </c>
      <c r="E85" s="82">
        <f t="shared" ref="E85:E94" si="12">+(C85-C$7)/C$8</f>
        <v>61229.331750179284</v>
      </c>
      <c r="F85" s="72">
        <f t="shared" ref="F85:F96" si="13">ROUND(2*E85,0)/2</f>
        <v>61229.5</v>
      </c>
      <c r="G85" s="73">
        <f t="shared" si="10"/>
        <v>-7.2954587572894525E-2</v>
      </c>
      <c r="K85" s="72">
        <f t="shared" si="11"/>
        <v>-7.2954587572894525E-2</v>
      </c>
      <c r="O85" s="72">
        <f t="shared" ref="O85:O94" ca="1" si="14">+C$11+C$12*F85</f>
        <v>-7.2185599671780232E-2</v>
      </c>
      <c r="Q85" s="83">
        <f t="shared" ref="Q85:Q94" si="15">+C85-15018.5</f>
        <v>43052.451500000003</v>
      </c>
    </row>
    <row r="86" spans="1:17" s="72" customFormat="1" ht="12.95" customHeight="1">
      <c r="A86" s="53" t="s">
        <v>0</v>
      </c>
      <c r="B86" s="54" t="s">
        <v>71</v>
      </c>
      <c r="C86" s="53">
        <v>58144.665000000001</v>
      </c>
      <c r="D86" s="53">
        <v>1E-4</v>
      </c>
      <c r="E86" s="82">
        <f t="shared" si="12"/>
        <v>61399.331795037513</v>
      </c>
      <c r="F86" s="72">
        <f t="shared" si="13"/>
        <v>61399.5</v>
      </c>
      <c r="G86" s="73">
        <f t="shared" si="10"/>
        <v>-7.2935136653541122E-2</v>
      </c>
      <c r="K86" s="72">
        <f t="shared" si="11"/>
        <v>-7.2935136653541122E-2</v>
      </c>
      <c r="O86" s="72">
        <f t="shared" ca="1" si="14"/>
        <v>-7.2201810370134137E-2</v>
      </c>
      <c r="Q86" s="83">
        <f t="shared" si="15"/>
        <v>43126.165000000001</v>
      </c>
    </row>
    <row r="87" spans="1:17" s="72" customFormat="1" ht="12.95" customHeight="1">
      <c r="A87" s="59" t="s">
        <v>318</v>
      </c>
      <c r="B87" s="60" t="s">
        <v>71</v>
      </c>
      <c r="C87" s="61">
        <v>58203.6374</v>
      </c>
      <c r="D87" s="86">
        <v>1E-4</v>
      </c>
      <c r="E87" s="82">
        <f t="shared" si="12"/>
        <v>61535.335520886882</v>
      </c>
      <c r="F87" s="72">
        <f t="shared" si="13"/>
        <v>61535.5</v>
      </c>
      <c r="G87" s="73">
        <f t="shared" si="10"/>
        <v>-7.1319575916277245E-2</v>
      </c>
      <c r="K87" s="72">
        <f t="shared" si="11"/>
        <v>-7.1319575916277245E-2</v>
      </c>
      <c r="O87" s="72">
        <f t="shared" ca="1" si="14"/>
        <v>-7.2214778928817266E-2</v>
      </c>
      <c r="Q87" s="83">
        <f t="shared" si="15"/>
        <v>43185.1374</v>
      </c>
    </row>
    <row r="88" spans="1:17" s="72" customFormat="1" ht="12.95" customHeight="1">
      <c r="A88" s="53" t="s">
        <v>0</v>
      </c>
      <c r="B88" s="54" t="s">
        <v>71</v>
      </c>
      <c r="C88" s="53">
        <v>58462.933700000001</v>
      </c>
      <c r="D88" s="87">
        <v>2.0000000000000001E-4</v>
      </c>
      <c r="E88" s="82">
        <f t="shared" si="12"/>
        <v>62133.331581738334</v>
      </c>
      <c r="F88" s="72">
        <f t="shared" si="13"/>
        <v>62133.5</v>
      </c>
      <c r="G88" s="73">
        <f t="shared" si="10"/>
        <v>-7.302762503240956E-2</v>
      </c>
      <c r="K88" s="72">
        <f t="shared" si="11"/>
        <v>-7.302762503240956E-2</v>
      </c>
      <c r="O88" s="72">
        <f t="shared" ca="1" si="14"/>
        <v>-7.2271802444203365E-2</v>
      </c>
      <c r="Q88" s="83">
        <f t="shared" si="15"/>
        <v>43444.433700000001</v>
      </c>
    </row>
    <row r="89" spans="1:17" s="72" customFormat="1" ht="12.95" customHeight="1">
      <c r="A89" s="62" t="s">
        <v>319</v>
      </c>
      <c r="B89" s="63" t="s">
        <v>71</v>
      </c>
      <c r="C89" s="64">
        <v>58795.946400000001</v>
      </c>
      <c r="D89" s="88">
        <v>1E-4</v>
      </c>
      <c r="E89" s="82">
        <f t="shared" si="12"/>
        <v>62901.334375505568</v>
      </c>
      <c r="F89" s="72">
        <f t="shared" si="13"/>
        <v>62901.5</v>
      </c>
      <c r="G89" s="73">
        <f t="shared" si="10"/>
        <v>-7.1816223229689058E-2</v>
      </c>
      <c r="K89" s="72">
        <f t="shared" si="11"/>
        <v>-7.1816223229689058E-2</v>
      </c>
      <c r="O89" s="72">
        <f t="shared" ca="1" si="14"/>
        <v>-7.2345036657943354E-2</v>
      </c>
      <c r="Q89" s="83">
        <f t="shared" si="15"/>
        <v>43777.446400000001</v>
      </c>
    </row>
    <row r="90" spans="1:17" s="72" customFormat="1" ht="12" customHeight="1">
      <c r="A90" s="65" t="s">
        <v>322</v>
      </c>
      <c r="B90" s="60" t="s">
        <v>71</v>
      </c>
      <c r="C90" s="61">
        <v>58882.667300000001</v>
      </c>
      <c r="D90" s="86">
        <v>1E-4</v>
      </c>
      <c r="E90" s="82">
        <f t="shared" si="12"/>
        <v>63101.33243407213</v>
      </c>
      <c r="F90" s="72">
        <f t="shared" si="13"/>
        <v>63101.5</v>
      </c>
      <c r="G90" s="73">
        <f t="shared" si="10"/>
        <v>-7.2658045675780158E-2</v>
      </c>
      <c r="K90" s="72">
        <f t="shared" si="11"/>
        <v>-7.2658045675780158E-2</v>
      </c>
      <c r="O90" s="72">
        <f t="shared" ca="1" si="14"/>
        <v>-7.2364108067771479E-2</v>
      </c>
      <c r="Q90" s="83">
        <f t="shared" si="15"/>
        <v>43864.167300000001</v>
      </c>
    </row>
    <row r="91" spans="1:17" s="72" customFormat="1" ht="12.95" customHeight="1">
      <c r="A91" s="62" t="s">
        <v>320</v>
      </c>
      <c r="B91" s="63" t="s">
        <v>71</v>
      </c>
      <c r="C91" s="64">
        <v>58915.621899999998</v>
      </c>
      <c r="D91" s="88">
        <v>2.0000000000000001E-4</v>
      </c>
      <c r="E91" s="82">
        <f t="shared" si="12"/>
        <v>63177.333213824611</v>
      </c>
      <c r="F91" s="72">
        <f t="shared" si="13"/>
        <v>63177.5</v>
      </c>
      <c r="G91" s="73">
        <f t="shared" si="10"/>
        <v>-7.2319938204600476E-2</v>
      </c>
      <c r="K91" s="72">
        <f t="shared" si="11"/>
        <v>-7.2319938204600476E-2</v>
      </c>
      <c r="O91" s="72">
        <f t="shared" ca="1" si="14"/>
        <v>-7.2371355203506169E-2</v>
      </c>
      <c r="Q91" s="83">
        <f t="shared" si="15"/>
        <v>43897.121899999998</v>
      </c>
    </row>
    <row r="92" spans="1:17" s="72" customFormat="1" ht="12.95" customHeight="1">
      <c r="A92" s="65" t="s">
        <v>321</v>
      </c>
      <c r="B92" s="60" t="s">
        <v>71</v>
      </c>
      <c r="C92" s="61">
        <v>59161.912400000001</v>
      </c>
      <c r="D92" s="86">
        <v>1E-4</v>
      </c>
      <c r="E92" s="82">
        <f t="shared" si="12"/>
        <v>63745.334950930526</v>
      </c>
      <c r="F92" s="72">
        <f t="shared" si="13"/>
        <v>63745.5</v>
      </c>
      <c r="G92" s="73">
        <f t="shared" ref="G92:G94" si="16">+C92-(C$7+F92*C$8)</f>
        <v>-7.1566713952051941E-2</v>
      </c>
      <c r="K92" s="72">
        <f t="shared" si="11"/>
        <v>-7.1566713952051941E-2</v>
      </c>
      <c r="O92" s="72">
        <f t="shared" ca="1" si="14"/>
        <v>-7.2425518007418047E-2</v>
      </c>
      <c r="Q92" s="83">
        <f t="shared" si="15"/>
        <v>44143.412400000001</v>
      </c>
    </row>
    <row r="93" spans="1:17" s="72" customFormat="1" ht="12.95" customHeight="1">
      <c r="A93" s="65" t="s">
        <v>321</v>
      </c>
      <c r="B93" s="60" t="s">
        <v>71</v>
      </c>
      <c r="C93" s="61">
        <v>59201.805099999998</v>
      </c>
      <c r="D93" s="86">
        <v>1E-4</v>
      </c>
      <c r="E93" s="82">
        <f t="shared" si="12"/>
        <v>63837.336562433382</v>
      </c>
      <c r="F93" s="72">
        <f t="shared" si="13"/>
        <v>63837.5</v>
      </c>
      <c r="G93" s="73">
        <f t="shared" si="16"/>
        <v>-7.0867952279513702E-2</v>
      </c>
      <c r="K93" s="72">
        <f t="shared" si="11"/>
        <v>-7.0867952279513702E-2</v>
      </c>
      <c r="O93" s="72">
        <f t="shared" ca="1" si="14"/>
        <v>-7.2434290855938985E-2</v>
      </c>
      <c r="Q93" s="83">
        <f t="shared" si="15"/>
        <v>44183.305099999998</v>
      </c>
    </row>
    <row r="94" spans="1:17" s="72" customFormat="1" ht="12.95" customHeight="1">
      <c r="A94" s="68" t="s">
        <v>323</v>
      </c>
      <c r="B94" s="67" t="s">
        <v>53</v>
      </c>
      <c r="C94" s="71">
        <v>59496.656499999997</v>
      </c>
      <c r="D94" s="89">
        <v>5.9999999999999995E-4</v>
      </c>
      <c r="E94" s="82">
        <f t="shared" si="12"/>
        <v>64517.33074567678</v>
      </c>
      <c r="F94" s="72">
        <f t="shared" si="13"/>
        <v>64517.5</v>
      </c>
      <c r="G94" s="73">
        <f t="shared" si="16"/>
        <v>-7.3390148601902183E-2</v>
      </c>
      <c r="K94" s="72">
        <f t="shared" si="11"/>
        <v>-7.3390148601902183E-2</v>
      </c>
      <c r="O94" s="72">
        <f t="shared" ca="1" si="14"/>
        <v>-7.2499133649354605E-2</v>
      </c>
      <c r="Q94" s="83">
        <f t="shared" si="15"/>
        <v>44478.156499999997</v>
      </c>
    </row>
    <row r="95" spans="1:17" s="72" customFormat="1" ht="12.95" customHeight="1">
      <c r="A95" s="66" t="s">
        <v>324</v>
      </c>
      <c r="B95" s="67" t="s">
        <v>71</v>
      </c>
      <c r="C95" s="71">
        <v>59540.886500000001</v>
      </c>
      <c r="D95" s="89">
        <v>2.0000000000000001E-4</v>
      </c>
      <c r="E95" s="82">
        <f t="shared" ref="E95" si="17">+(C95-C$7)/C$8</f>
        <v>64619.335154422537</v>
      </c>
      <c r="F95" s="72">
        <f t="shared" si="13"/>
        <v>64619.5</v>
      </c>
      <c r="G95" s="73">
        <f t="shared" ref="G95" si="18">+C95-(C$7+F95*C$8)</f>
        <v>-7.1478478050266858E-2</v>
      </c>
      <c r="K95" s="72">
        <f t="shared" ref="K95" si="19">+G95</f>
        <v>-7.1478478050266858E-2</v>
      </c>
      <c r="O95" s="72">
        <f t="shared" ref="O95" ca="1" si="20">+C$11+C$12*F95</f>
        <v>-7.2508860068366945E-2</v>
      </c>
      <c r="Q95" s="83">
        <f t="shared" ref="Q95" si="21">+C95-15018.5</f>
        <v>44522.386500000001</v>
      </c>
    </row>
    <row r="96" spans="1:17" s="72" customFormat="1" ht="12.95" customHeight="1">
      <c r="A96" s="69" t="s">
        <v>325</v>
      </c>
      <c r="B96" s="70" t="s">
        <v>71</v>
      </c>
      <c r="C96" s="66">
        <v>60053.410499999998</v>
      </c>
      <c r="D96" s="89">
        <v>2.0000000000000001E-4</v>
      </c>
      <c r="E96" s="82">
        <f t="shared" ref="E96" si="22">+(C96-C$7)/C$8</f>
        <v>65801.331708526195</v>
      </c>
      <c r="F96" s="72">
        <f t="shared" si="13"/>
        <v>65801.5</v>
      </c>
      <c r="G96" s="73">
        <f t="shared" ref="G96" si="23">+C96-(C$7+F96*C$8)</f>
        <v>-7.2972648711584043E-2</v>
      </c>
      <c r="K96" s="72">
        <f t="shared" ref="K96" si="24">+G96</f>
        <v>-7.2972648711584043E-2</v>
      </c>
      <c r="O96" s="72">
        <f t="shared" ref="O96" ca="1" si="25">+C$11+C$12*F96</f>
        <v>-7.2621572100451157E-2</v>
      </c>
      <c r="Q96" s="83">
        <f t="shared" ref="Q96" si="26">+C96-15018.5</f>
        <v>45034.910499999998</v>
      </c>
    </row>
    <row r="97" spans="1:7" s="72" customFormat="1" ht="12.95" customHeight="1">
      <c r="A97" s="82"/>
      <c r="B97" s="82"/>
      <c r="C97" s="24"/>
      <c r="D97" s="90"/>
      <c r="G97" s="73"/>
    </row>
    <row r="98" spans="1:7" s="72" customFormat="1" ht="12.95" customHeight="1">
      <c r="A98" s="82"/>
      <c r="B98" s="82"/>
      <c r="C98" s="24"/>
      <c r="D98" s="90"/>
      <c r="G98" s="73"/>
    </row>
    <row r="99" spans="1:7" s="72" customFormat="1" ht="12.95" customHeight="1">
      <c r="A99" s="82"/>
      <c r="B99" s="82"/>
      <c r="C99" s="24"/>
      <c r="D99" s="90"/>
      <c r="G99" s="73"/>
    </row>
    <row r="100" spans="1:7" s="72" customFormat="1" ht="12.95" customHeight="1">
      <c r="A100" s="82"/>
      <c r="B100" s="82"/>
      <c r="C100" s="24"/>
      <c r="D100" s="90"/>
      <c r="G100" s="73"/>
    </row>
    <row r="101" spans="1:7" s="72" customFormat="1" ht="12.95" customHeight="1">
      <c r="A101" s="82"/>
      <c r="B101" s="82"/>
      <c r="C101" s="24"/>
      <c r="D101" s="90"/>
      <c r="G101" s="73"/>
    </row>
    <row r="102" spans="1:7" s="72" customFormat="1" ht="12.95" customHeight="1">
      <c r="A102" s="82"/>
      <c r="B102" s="82"/>
      <c r="C102" s="24"/>
      <c r="D102" s="90"/>
      <c r="G102" s="73"/>
    </row>
    <row r="103" spans="1:7" s="72" customFormat="1" ht="12.95" customHeight="1">
      <c r="A103" s="82"/>
      <c r="B103" s="82"/>
      <c r="C103" s="24"/>
      <c r="D103" s="90"/>
      <c r="G103" s="73"/>
    </row>
    <row r="104" spans="1:7" s="72" customFormat="1" ht="12.95" customHeight="1">
      <c r="A104" s="82"/>
      <c r="B104" s="82"/>
      <c r="C104" s="24"/>
      <c r="D104" s="90"/>
      <c r="G104" s="73"/>
    </row>
    <row r="105" spans="1:7" s="72" customFormat="1" ht="12.95" customHeight="1">
      <c r="A105" s="82"/>
      <c r="B105" s="82"/>
      <c r="C105" s="24"/>
      <c r="D105" s="90"/>
      <c r="G105" s="73"/>
    </row>
    <row r="106" spans="1:7" s="72" customFormat="1" ht="12.95" customHeight="1">
      <c r="A106" s="82"/>
      <c r="B106" s="82"/>
      <c r="C106" s="82"/>
      <c r="D106" s="82"/>
      <c r="G106" s="73"/>
    </row>
    <row r="107" spans="1:7" s="72" customFormat="1" ht="12.95" customHeight="1">
      <c r="A107" s="82"/>
      <c r="B107" s="82"/>
      <c r="C107" s="82"/>
      <c r="D107" s="82"/>
      <c r="G107" s="73"/>
    </row>
    <row r="108" spans="1:7" s="72" customFormat="1" ht="12.95" customHeight="1">
      <c r="A108" s="82"/>
      <c r="B108" s="82"/>
      <c r="C108" s="82"/>
      <c r="D108" s="82"/>
      <c r="G108" s="73"/>
    </row>
    <row r="109" spans="1:7" s="72" customFormat="1" ht="12.95" customHeight="1">
      <c r="A109" s="82"/>
      <c r="B109" s="82"/>
      <c r="C109" s="82"/>
      <c r="D109" s="82"/>
      <c r="G109" s="73"/>
    </row>
    <row r="110" spans="1:7" s="72" customFormat="1" ht="12.95" customHeight="1">
      <c r="A110" s="82"/>
      <c r="B110" s="82"/>
      <c r="C110" s="82"/>
      <c r="D110" s="82"/>
      <c r="G110" s="73"/>
    </row>
    <row r="111" spans="1:7" s="72" customFormat="1" ht="12.95" customHeight="1">
      <c r="A111" s="82"/>
      <c r="B111" s="82"/>
      <c r="C111" s="82"/>
      <c r="D111" s="82"/>
      <c r="G111" s="73"/>
    </row>
    <row r="112" spans="1:7" s="72" customFormat="1" ht="12.95" customHeight="1">
      <c r="A112" s="82"/>
      <c r="B112" s="82"/>
      <c r="C112" s="82"/>
      <c r="D112" s="82"/>
      <c r="G112" s="73"/>
    </row>
    <row r="113" spans="1:7" s="72" customFormat="1" ht="12.95" customHeight="1">
      <c r="A113" s="82"/>
      <c r="B113" s="82"/>
      <c r="C113" s="82"/>
      <c r="D113" s="82"/>
      <c r="G113" s="73"/>
    </row>
    <row r="114" spans="1:7" s="72" customFormat="1" ht="12.95" customHeight="1">
      <c r="A114" s="82"/>
      <c r="B114" s="82"/>
      <c r="C114" s="82"/>
      <c r="D114" s="82"/>
      <c r="G114" s="73"/>
    </row>
    <row r="115" spans="1:7" s="72" customFormat="1" ht="12.95" customHeight="1">
      <c r="A115" s="82"/>
      <c r="B115" s="82"/>
      <c r="C115" s="82"/>
      <c r="D115" s="82"/>
      <c r="G115" s="73"/>
    </row>
    <row r="116" spans="1:7" s="72" customFormat="1" ht="12.95" customHeight="1">
      <c r="G116" s="73"/>
    </row>
    <row r="117" spans="1:7" s="72" customFormat="1" ht="12.95" customHeight="1">
      <c r="G117" s="73"/>
    </row>
    <row r="118" spans="1:7" s="72" customFormat="1" ht="12.95" customHeight="1">
      <c r="G118" s="73"/>
    </row>
    <row r="119" spans="1:7" s="72" customFormat="1" ht="12.95" customHeight="1">
      <c r="G119" s="73"/>
    </row>
    <row r="120" spans="1:7" s="72" customFormat="1" ht="12.95" customHeight="1">
      <c r="G120" s="73"/>
    </row>
    <row r="121" spans="1:7" s="72" customFormat="1" ht="12.95" customHeight="1">
      <c r="G121" s="73"/>
    </row>
    <row r="122" spans="1:7" s="72" customFormat="1" ht="12.95" customHeight="1">
      <c r="G122" s="73"/>
    </row>
    <row r="123" spans="1:7" s="72" customFormat="1" ht="12.95" customHeight="1">
      <c r="G123" s="73"/>
    </row>
    <row r="124" spans="1:7" s="72" customFormat="1" ht="12.95" customHeight="1">
      <c r="G124" s="73"/>
    </row>
    <row r="125" spans="1:7" s="72" customFormat="1" ht="12.95" customHeight="1">
      <c r="G125" s="73"/>
    </row>
    <row r="126" spans="1:7" s="72" customFormat="1" ht="12.95" customHeight="1">
      <c r="G126" s="73"/>
    </row>
    <row r="127" spans="1:7" s="72" customFormat="1" ht="12.95" customHeight="1">
      <c r="G127" s="73"/>
    </row>
    <row r="128" spans="1:7" s="72" customFormat="1" ht="12.95" customHeight="1">
      <c r="G128" s="73"/>
    </row>
    <row r="129" spans="7:7" s="72" customFormat="1" ht="12.95" customHeight="1">
      <c r="G129" s="73"/>
    </row>
    <row r="130" spans="7:7" s="72" customFormat="1" ht="12.95" customHeight="1">
      <c r="G130" s="73"/>
    </row>
    <row r="131" spans="7:7" s="72" customFormat="1" ht="12.95" customHeight="1">
      <c r="G131" s="73"/>
    </row>
    <row r="132" spans="7:7" s="72" customFormat="1" ht="12.95" customHeight="1">
      <c r="G132" s="73"/>
    </row>
    <row r="133" spans="7:7" s="72" customFormat="1" ht="12.95" customHeight="1">
      <c r="G133" s="73"/>
    </row>
    <row r="134" spans="7:7" s="72" customFormat="1" ht="12.95" customHeight="1">
      <c r="G134" s="73"/>
    </row>
    <row r="135" spans="7:7" s="72" customFormat="1" ht="12.95" customHeight="1">
      <c r="G135" s="73"/>
    </row>
    <row r="136" spans="7:7" s="72" customFormat="1" ht="12.95" customHeight="1">
      <c r="G136" s="73"/>
    </row>
    <row r="137" spans="7:7" s="72" customFormat="1" ht="12.95" customHeight="1">
      <c r="G137" s="73"/>
    </row>
    <row r="138" spans="7:7" s="72" customFormat="1" ht="12.95" customHeight="1">
      <c r="G138" s="73"/>
    </row>
    <row r="139" spans="7:7" s="72" customFormat="1" ht="12.95" customHeight="1">
      <c r="G139" s="73"/>
    </row>
    <row r="140" spans="7:7" s="72" customFormat="1" ht="12.95" customHeight="1">
      <c r="G140" s="73"/>
    </row>
    <row r="141" spans="7:7" s="72" customFormat="1" ht="12.95" customHeight="1">
      <c r="G141" s="73"/>
    </row>
    <row r="142" spans="7:7" s="72" customFormat="1" ht="12.95" customHeight="1">
      <c r="G142" s="73"/>
    </row>
    <row r="143" spans="7:7" s="72" customFormat="1" ht="12.95" customHeight="1">
      <c r="G143" s="73"/>
    </row>
    <row r="144" spans="7:7" s="72" customFormat="1" ht="12.95" customHeight="1">
      <c r="G144" s="73"/>
    </row>
    <row r="145" spans="7:7" s="72" customFormat="1" ht="12.95" customHeight="1">
      <c r="G145" s="73"/>
    </row>
    <row r="146" spans="7:7" s="72" customFormat="1" ht="12.95" customHeight="1">
      <c r="G146" s="73"/>
    </row>
    <row r="147" spans="7:7" s="72" customFormat="1" ht="12.95" customHeight="1">
      <c r="G147" s="73"/>
    </row>
    <row r="148" spans="7:7" s="72" customFormat="1" ht="12.95" customHeight="1">
      <c r="G148" s="73"/>
    </row>
    <row r="149" spans="7:7" s="72" customFormat="1" ht="12.95" customHeight="1">
      <c r="G149" s="73"/>
    </row>
    <row r="150" spans="7:7" s="72" customFormat="1" ht="12.95" customHeight="1">
      <c r="G150" s="73"/>
    </row>
    <row r="151" spans="7:7" s="72" customFormat="1" ht="12.95" customHeight="1">
      <c r="G151" s="73"/>
    </row>
    <row r="152" spans="7:7" s="72" customFormat="1" ht="12.95" customHeight="1">
      <c r="G152" s="73"/>
    </row>
    <row r="153" spans="7:7" s="72" customFormat="1" ht="12.95" customHeight="1">
      <c r="G153" s="73"/>
    </row>
    <row r="154" spans="7:7" s="72" customFormat="1" ht="12.95" customHeight="1">
      <c r="G154" s="73"/>
    </row>
    <row r="155" spans="7:7" s="72" customFormat="1" ht="12.95" customHeight="1">
      <c r="G155" s="73"/>
    </row>
    <row r="156" spans="7:7" s="72" customFormat="1" ht="12.95" customHeight="1">
      <c r="G156" s="73"/>
    </row>
    <row r="157" spans="7:7" s="72" customFormat="1" ht="12.95" customHeight="1">
      <c r="G157" s="73"/>
    </row>
    <row r="158" spans="7:7" s="72" customFormat="1" ht="12.95" customHeight="1">
      <c r="G158" s="73"/>
    </row>
    <row r="159" spans="7:7" s="72" customFormat="1" ht="12.95" customHeight="1">
      <c r="G159" s="73"/>
    </row>
    <row r="160" spans="7:7" s="72" customFormat="1" ht="12.95" customHeight="1">
      <c r="G160" s="73"/>
    </row>
    <row r="161" spans="7:7" s="72" customFormat="1" ht="12.95" customHeight="1">
      <c r="G161" s="73"/>
    </row>
    <row r="162" spans="7:7" s="72" customFormat="1" ht="12.95" customHeight="1">
      <c r="G162" s="73"/>
    </row>
    <row r="163" spans="7:7" s="72" customFormat="1" ht="12.95" customHeight="1">
      <c r="G163" s="73"/>
    </row>
    <row r="164" spans="7:7" s="72" customFormat="1" ht="12.95" customHeight="1">
      <c r="G164" s="73"/>
    </row>
    <row r="165" spans="7:7" s="72" customFormat="1" ht="12.95" customHeight="1">
      <c r="G165" s="73"/>
    </row>
    <row r="166" spans="7:7" s="72" customFormat="1" ht="12.95" customHeight="1">
      <c r="G166" s="73"/>
    </row>
    <row r="167" spans="7:7" s="72" customFormat="1" ht="12.95" customHeight="1">
      <c r="G167" s="73"/>
    </row>
    <row r="168" spans="7:7" s="72" customFormat="1" ht="12.95" customHeight="1">
      <c r="G168" s="73"/>
    </row>
    <row r="169" spans="7:7" s="72" customFormat="1" ht="12.95" customHeight="1">
      <c r="G169" s="73"/>
    </row>
    <row r="170" spans="7:7" s="72" customFormat="1" ht="12.95" customHeight="1">
      <c r="G170" s="73"/>
    </row>
    <row r="171" spans="7:7" s="72" customFormat="1" ht="12.95" customHeight="1">
      <c r="G171" s="73"/>
    </row>
    <row r="172" spans="7:7" s="72" customFormat="1" ht="12.95" customHeight="1">
      <c r="G172" s="73"/>
    </row>
    <row r="173" spans="7:7" s="72" customFormat="1" ht="12.95" customHeight="1">
      <c r="G173" s="73"/>
    </row>
    <row r="174" spans="7:7" s="72" customFormat="1" ht="12.95" customHeight="1">
      <c r="G174" s="73"/>
    </row>
    <row r="175" spans="7:7" s="72" customFormat="1" ht="12.95" customHeight="1">
      <c r="G175" s="73"/>
    </row>
    <row r="176" spans="7:7" s="72" customFormat="1" ht="12.95" customHeight="1">
      <c r="G176" s="73"/>
    </row>
    <row r="177" spans="7:7" s="72" customFormat="1" ht="12.95" customHeight="1">
      <c r="G177" s="73"/>
    </row>
    <row r="178" spans="7:7" s="72" customFormat="1" ht="12.95" customHeight="1">
      <c r="G178" s="73"/>
    </row>
    <row r="179" spans="7:7" s="72" customFormat="1" ht="12.95" customHeight="1">
      <c r="G179" s="73"/>
    </row>
    <row r="180" spans="7:7" s="72" customFormat="1" ht="12.95" customHeight="1">
      <c r="G180" s="73"/>
    </row>
    <row r="181" spans="7:7" s="72" customFormat="1" ht="12.95" customHeight="1">
      <c r="G181" s="73"/>
    </row>
    <row r="182" spans="7:7" s="72" customFormat="1" ht="12.95" customHeight="1">
      <c r="G182" s="73"/>
    </row>
    <row r="183" spans="7:7" s="72" customFormat="1" ht="12.95" customHeight="1">
      <c r="G183" s="73"/>
    </row>
    <row r="184" spans="7:7" s="72" customFormat="1" ht="12.95" customHeight="1">
      <c r="G184" s="73"/>
    </row>
    <row r="185" spans="7:7" s="72" customFormat="1" ht="12.95" customHeight="1">
      <c r="G185" s="73"/>
    </row>
    <row r="186" spans="7:7" s="72" customFormat="1" ht="12.95" customHeight="1">
      <c r="G186" s="73"/>
    </row>
    <row r="187" spans="7:7" s="72" customFormat="1" ht="12.95" customHeight="1">
      <c r="G187" s="73"/>
    </row>
    <row r="188" spans="7:7" s="72" customFormat="1" ht="12.95" customHeight="1">
      <c r="G188" s="73"/>
    </row>
    <row r="189" spans="7:7" s="72" customFormat="1" ht="12.95" customHeight="1">
      <c r="G189" s="73"/>
    </row>
    <row r="190" spans="7:7" s="72" customFormat="1" ht="12.95" customHeight="1">
      <c r="G190" s="73"/>
    </row>
    <row r="191" spans="7:7" s="72" customFormat="1" ht="12.95" customHeight="1">
      <c r="G191" s="73"/>
    </row>
    <row r="192" spans="7:7" s="72" customFormat="1" ht="12.95" customHeight="1">
      <c r="G192" s="73"/>
    </row>
    <row r="193" spans="7:7" s="72" customFormat="1" ht="12.95" customHeight="1">
      <c r="G193" s="73"/>
    </row>
    <row r="194" spans="7:7" s="72" customFormat="1" ht="12.95" customHeight="1">
      <c r="G194" s="73"/>
    </row>
    <row r="195" spans="7:7" s="72" customFormat="1" ht="12.95" customHeight="1">
      <c r="G195" s="73"/>
    </row>
    <row r="196" spans="7:7" s="72" customFormat="1" ht="12.95" customHeight="1">
      <c r="G196" s="73"/>
    </row>
    <row r="197" spans="7:7" s="72" customFormat="1" ht="12.95" customHeight="1">
      <c r="G197" s="73"/>
    </row>
    <row r="198" spans="7:7" s="72" customFormat="1" ht="12.95" customHeight="1">
      <c r="G198" s="73"/>
    </row>
    <row r="199" spans="7:7" s="72" customFormat="1" ht="12.95" customHeight="1">
      <c r="G199" s="73"/>
    </row>
    <row r="200" spans="7:7" s="72" customFormat="1" ht="12.95" customHeight="1">
      <c r="G200" s="73"/>
    </row>
    <row r="201" spans="7:7" s="72" customFormat="1" ht="12.95" customHeight="1">
      <c r="G201" s="73"/>
    </row>
    <row r="202" spans="7:7" s="72" customFormat="1" ht="12.95" customHeight="1">
      <c r="G202" s="73"/>
    </row>
    <row r="203" spans="7:7" s="72" customFormat="1" ht="12.95" customHeight="1">
      <c r="G203" s="73"/>
    </row>
    <row r="204" spans="7:7" s="72" customFormat="1" ht="12.95" customHeight="1">
      <c r="G204" s="73"/>
    </row>
    <row r="205" spans="7:7" s="72" customFormat="1" ht="12.95" customHeight="1">
      <c r="G205" s="73"/>
    </row>
    <row r="206" spans="7:7" s="72" customFormat="1" ht="12.95" customHeight="1">
      <c r="G206" s="73"/>
    </row>
    <row r="207" spans="7:7" s="72" customFormat="1" ht="12.95" customHeight="1">
      <c r="G207" s="73"/>
    </row>
    <row r="208" spans="7:7" s="72" customFormat="1" ht="12.95" customHeight="1">
      <c r="G208" s="73"/>
    </row>
    <row r="209" spans="7:7" s="72" customFormat="1" ht="12.95" customHeight="1">
      <c r="G209" s="73"/>
    </row>
  </sheetData>
  <protectedRanges>
    <protectedRange sqref="A87:D89" name="Range1"/>
  </protectedRanges>
  <sortState xmlns:xlrd2="http://schemas.microsoft.com/office/spreadsheetml/2017/richdata2" ref="A21:AK95">
    <sortCondition ref="C21:C95"/>
  </sortState>
  <phoneticPr fontId="8" type="noConversion"/>
  <hyperlinks>
    <hyperlink ref="H64585" r:id="rId1" display="http://vsolj.cetus-net.org/bulletin.html" xr:uid="{00000000-0004-0000-0000-000000000000}"/>
    <hyperlink ref="H64578" r:id="rId2" display="https://www.aavso.org/ejaavso" xr:uid="{00000000-0004-0000-0000-000001000000}"/>
    <hyperlink ref="I64585" r:id="rId3" display="http://vsolj.cetus-net.org/bulletin.html" xr:uid="{00000000-0004-0000-0000-000002000000}"/>
    <hyperlink ref="AQ58236" r:id="rId4" display="http://cdsbib.u-strasbg.fr/cgi-bin/cdsbib?1990RMxAA..21..381G" xr:uid="{00000000-0004-0000-0000-000003000000}"/>
    <hyperlink ref="H64582" r:id="rId5" display="https://www.aavso.org/ejaavso" xr:uid="{00000000-0004-0000-0000-000004000000}"/>
    <hyperlink ref="AP5600" r:id="rId6" display="http://cdsbib.u-strasbg.fr/cgi-bin/cdsbib?1990RMxAA..21..381G" xr:uid="{00000000-0004-0000-0000-000005000000}"/>
    <hyperlink ref="AP5603" r:id="rId7" display="http://cdsbib.u-strasbg.fr/cgi-bin/cdsbib?1990RMxAA..21..381G" xr:uid="{00000000-0004-0000-0000-000006000000}"/>
    <hyperlink ref="AP5601" r:id="rId8" display="http://cdsbib.u-strasbg.fr/cgi-bin/cdsbib?1990RMxAA..21..381G" xr:uid="{00000000-0004-0000-0000-000007000000}"/>
    <hyperlink ref="AP5585" r:id="rId9" display="http://cdsbib.u-strasbg.fr/cgi-bin/cdsbib?1990RMxAA..21..381G" xr:uid="{00000000-0004-0000-0000-000008000000}"/>
    <hyperlink ref="AQ5814" r:id="rId10" display="http://cdsbib.u-strasbg.fr/cgi-bin/cdsbib?1990RMxAA..21..381G" xr:uid="{00000000-0004-0000-0000-000009000000}"/>
    <hyperlink ref="AQ5818" r:id="rId11" display="http://cdsbib.u-strasbg.fr/cgi-bin/cdsbib?1990RMxAA..21..381G" xr:uid="{00000000-0004-0000-0000-00000A000000}"/>
    <hyperlink ref="AQ65498" r:id="rId12" display="http://cdsbib.u-strasbg.fr/cgi-bin/cdsbib?1990RMxAA..21..381G" xr:uid="{00000000-0004-0000-0000-00000B000000}"/>
    <hyperlink ref="I2706" r:id="rId13" display="http://vsolj.cetus-net.org/bulletin.html" xr:uid="{00000000-0004-0000-0000-00000C000000}"/>
    <hyperlink ref="H2706" r:id="rId14" display="http://vsolj.cetus-net.org/bulletin.html" xr:uid="{00000000-0004-0000-0000-00000D000000}"/>
    <hyperlink ref="AQ623" r:id="rId15" display="http://cdsbib.u-strasbg.fr/cgi-bin/cdsbib?1990RMxAA..21..381G" xr:uid="{00000000-0004-0000-0000-00000E000000}"/>
    <hyperlink ref="AQ622" r:id="rId16" display="http://cdsbib.u-strasbg.fr/cgi-bin/cdsbib?1990RMxAA..21..381G" xr:uid="{00000000-0004-0000-0000-00000F000000}"/>
    <hyperlink ref="AP3876" r:id="rId17" display="http://cdsbib.u-strasbg.fr/cgi-bin/cdsbib?1990RMxAA..21..381G" xr:uid="{00000000-0004-0000-0000-000010000000}"/>
    <hyperlink ref="AP3894" r:id="rId18" display="http://cdsbib.u-strasbg.fr/cgi-bin/cdsbib?1990RMxAA..21..381G" xr:uid="{00000000-0004-0000-0000-000011000000}"/>
    <hyperlink ref="AP3895" r:id="rId19" display="http://cdsbib.u-strasbg.fr/cgi-bin/cdsbib?1990RMxAA..21..381G" xr:uid="{00000000-0004-0000-0000-000012000000}"/>
    <hyperlink ref="AP38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B6" sqref="B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58</v>
      </c>
    </row>
    <row r="2" spans="1:4">
      <c r="A2" t="s">
        <v>28</v>
      </c>
    </row>
    <row r="4" spans="1:4">
      <c r="A4" s="8" t="s">
        <v>2</v>
      </c>
      <c r="C4" s="3">
        <v>31521.38</v>
      </c>
      <c r="D4" s="4">
        <v>0.78869999999999996</v>
      </c>
    </row>
    <row r="6" spans="1:4">
      <c r="A6" s="8" t="s">
        <v>3</v>
      </c>
    </row>
    <row r="7" spans="1:4">
      <c r="A7" t="s">
        <v>4</v>
      </c>
      <c r="C7">
        <f>+C4</f>
        <v>31521.38</v>
      </c>
    </row>
    <row r="8" spans="1:4">
      <c r="A8" t="s">
        <v>5</v>
      </c>
      <c r="C8">
        <f>+D4</f>
        <v>0.78869999999999996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INTERCEPT(G21:G993,F21:F993)</f>
        <v>-1.3899442668449438E-2</v>
      </c>
      <c r="D11" s="6"/>
    </row>
    <row r="12" spans="1:4">
      <c r="A12" t="s">
        <v>19</v>
      </c>
      <c r="C12">
        <f>SLOPE(G21:G993,F21:F993)</f>
        <v>4.4546349273915169E-7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3">
        <f>(C7+C11)+(C8+C12)*INT(MAX(F21:F3533))</f>
        <v>53407.803462169257</v>
      </c>
    </row>
    <row r="16" spans="1:4">
      <c r="A16" s="8" t="s">
        <v>6</v>
      </c>
      <c r="C16" s="14">
        <f>+C8+C12</f>
        <v>0.78870044546349272</v>
      </c>
    </row>
    <row r="17" spans="1:32" ht="13.5" thickBot="1">
      <c r="A17" s="15" t="s">
        <v>57</v>
      </c>
      <c r="C17">
        <f>COUNT(C21:C2191)</f>
        <v>25</v>
      </c>
    </row>
    <row r="18" spans="1:32">
      <c r="A18" s="8" t="s">
        <v>7</v>
      </c>
      <c r="C18" s="3">
        <f>+C15</f>
        <v>53407.803462169257</v>
      </c>
      <c r="D18" s="4">
        <f>+C16</f>
        <v>0.78870044546349272</v>
      </c>
    </row>
    <row r="19" spans="1:32" ht="13.5" thickTop="1"/>
    <row r="20" spans="1:32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32</v>
      </c>
      <c r="J20" s="10" t="s">
        <v>56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2">
      <c r="A21" t="s">
        <v>14</v>
      </c>
      <c r="C21">
        <v>31521.38</v>
      </c>
      <c r="D21" s="6" t="s">
        <v>16</v>
      </c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H21">
        <f>+G21</f>
        <v>0</v>
      </c>
      <c r="O21">
        <f t="shared" ref="O21:O44" si="3">+C$11+C$12*F21</f>
        <v>-1.3899442668449438E-2</v>
      </c>
      <c r="Q21" s="2">
        <f t="shared" ref="Q21:Q44" si="4">+C21-15018.5</f>
        <v>16502.88</v>
      </c>
    </row>
    <row r="22" spans="1:32">
      <c r="A22" t="s">
        <v>34</v>
      </c>
      <c r="C22" s="11">
        <v>45115.5</v>
      </c>
      <c r="D22" s="6"/>
      <c r="E22">
        <f t="shared" si="0"/>
        <v>17236.110054520097</v>
      </c>
      <c r="F22">
        <f t="shared" si="1"/>
        <v>17236</v>
      </c>
      <c r="G22">
        <f t="shared" si="2"/>
        <v>8.6799999997310806E-2</v>
      </c>
      <c r="N22">
        <f>+G22</f>
        <v>8.6799999997310806E-2</v>
      </c>
      <c r="O22">
        <f t="shared" si="3"/>
        <v>-6.2214339075974193E-3</v>
      </c>
      <c r="Q22" s="2">
        <f t="shared" si="4"/>
        <v>30097</v>
      </c>
      <c r="AA22" t="s">
        <v>33</v>
      </c>
      <c r="AF22" t="s">
        <v>35</v>
      </c>
    </row>
    <row r="23" spans="1:32">
      <c r="A23" t="s">
        <v>37</v>
      </c>
      <c r="C23" s="11">
        <v>46140.641000000003</v>
      </c>
      <c r="D23" s="6"/>
      <c r="E23">
        <f t="shared" si="0"/>
        <v>18535.895777862308</v>
      </c>
      <c r="F23">
        <f t="shared" si="1"/>
        <v>18536</v>
      </c>
      <c r="G23">
        <f t="shared" si="2"/>
        <v>-8.2199999997101258E-2</v>
      </c>
      <c r="N23">
        <f>+G23</f>
        <v>-8.2199999997101258E-2</v>
      </c>
      <c r="O23">
        <f t="shared" si="3"/>
        <v>-5.6423313670365214E-3</v>
      </c>
      <c r="Q23" s="2">
        <f t="shared" si="4"/>
        <v>31122.141000000003</v>
      </c>
      <c r="AA23" t="s">
        <v>36</v>
      </c>
      <c r="AF23" t="s">
        <v>35</v>
      </c>
    </row>
    <row r="24" spans="1:32">
      <c r="A24" t="s">
        <v>54</v>
      </c>
      <c r="C24" s="11">
        <v>46140.641000000003</v>
      </c>
      <c r="D24" s="6"/>
      <c r="E24">
        <f t="shared" si="0"/>
        <v>18535.895777862308</v>
      </c>
      <c r="F24">
        <f t="shared" si="1"/>
        <v>18536</v>
      </c>
      <c r="G24">
        <f t="shared" si="2"/>
        <v>-8.2199999997101258E-2</v>
      </c>
      <c r="J24">
        <f>+G24</f>
        <v>-8.2199999997101258E-2</v>
      </c>
      <c r="O24">
        <f t="shared" si="3"/>
        <v>-5.6423313670365214E-3</v>
      </c>
      <c r="Q24" s="2">
        <f t="shared" si="4"/>
        <v>31122.141000000003</v>
      </c>
      <c r="R24" s="12" t="s">
        <v>55</v>
      </c>
    </row>
    <row r="25" spans="1:32">
      <c r="A25" t="s">
        <v>37</v>
      </c>
      <c r="C25" s="11">
        <v>46436.7952</v>
      </c>
      <c r="D25" s="6"/>
      <c r="E25">
        <f t="shared" si="0"/>
        <v>18911.39241790288</v>
      </c>
      <c r="F25">
        <f t="shared" si="1"/>
        <v>18911.5</v>
      </c>
      <c r="G25">
        <f t="shared" si="2"/>
        <v>-8.4849999999278225E-2</v>
      </c>
      <c r="N25">
        <f>+G25</f>
        <v>-8.4849999999278225E-2</v>
      </c>
      <c r="O25">
        <f t="shared" si="3"/>
        <v>-5.4750598255129714E-3</v>
      </c>
      <c r="Q25" s="2">
        <f t="shared" si="4"/>
        <v>31418.2952</v>
      </c>
      <c r="AA25" t="s">
        <v>36</v>
      </c>
      <c r="AF25" t="s">
        <v>35</v>
      </c>
    </row>
    <row r="26" spans="1:32">
      <c r="A26" t="s">
        <v>54</v>
      </c>
      <c r="C26" s="11">
        <v>46436.7952</v>
      </c>
      <c r="D26" s="6"/>
      <c r="E26">
        <f t="shared" si="0"/>
        <v>18911.39241790288</v>
      </c>
      <c r="F26">
        <f t="shared" si="1"/>
        <v>18911.5</v>
      </c>
      <c r="G26">
        <f t="shared" si="2"/>
        <v>-8.4849999999278225E-2</v>
      </c>
      <c r="J26">
        <f>+G26</f>
        <v>-8.4849999999278225E-2</v>
      </c>
      <c r="O26">
        <f t="shared" si="3"/>
        <v>-5.4750598255129714E-3</v>
      </c>
      <c r="Q26" s="2">
        <f t="shared" si="4"/>
        <v>31418.2952</v>
      </c>
    </row>
    <row r="27" spans="1:32">
      <c r="A27" t="s">
        <v>37</v>
      </c>
      <c r="C27" s="11">
        <v>46439.829700000002</v>
      </c>
      <c r="E27">
        <f t="shared" si="0"/>
        <v>18915.239888423992</v>
      </c>
      <c r="F27">
        <f t="shared" si="1"/>
        <v>18915</v>
      </c>
      <c r="G27">
        <f t="shared" si="2"/>
        <v>0.18920000000071013</v>
      </c>
      <c r="N27">
        <f>+G27</f>
        <v>0.18920000000071013</v>
      </c>
      <c r="O27">
        <f t="shared" si="3"/>
        <v>-5.4735007032883833E-3</v>
      </c>
      <c r="Q27" s="2">
        <f t="shared" si="4"/>
        <v>31421.329700000002</v>
      </c>
      <c r="AA27" t="s">
        <v>36</v>
      </c>
      <c r="AF27" t="s">
        <v>35</v>
      </c>
    </row>
    <row r="28" spans="1:32">
      <c r="A28" t="s">
        <v>54</v>
      </c>
      <c r="C28" s="11">
        <v>46439.829700000002</v>
      </c>
      <c r="D28" s="6"/>
      <c r="E28">
        <f t="shared" si="0"/>
        <v>18915.239888423992</v>
      </c>
      <c r="F28">
        <f t="shared" si="1"/>
        <v>18915</v>
      </c>
      <c r="G28">
        <f t="shared" si="2"/>
        <v>0.18920000000071013</v>
      </c>
      <c r="J28">
        <f>+G28</f>
        <v>0.18920000000071013</v>
      </c>
      <c r="O28">
        <f t="shared" si="3"/>
        <v>-5.4735007032883833E-3</v>
      </c>
      <c r="Q28" s="2">
        <f t="shared" si="4"/>
        <v>31421.329700000002</v>
      </c>
    </row>
    <row r="29" spans="1:32">
      <c r="A29" t="s">
        <v>37</v>
      </c>
      <c r="C29" s="11">
        <v>46440.697</v>
      </c>
      <c r="D29" s="6"/>
      <c r="E29">
        <f t="shared" si="0"/>
        <v>18916.3395460885</v>
      </c>
      <c r="F29">
        <f t="shared" si="1"/>
        <v>18916.5</v>
      </c>
      <c r="G29">
        <f t="shared" si="2"/>
        <v>-0.12655000000086147</v>
      </c>
      <c r="N29">
        <f>+G29</f>
        <v>-0.12655000000086147</v>
      </c>
      <c r="O29">
        <f t="shared" si="3"/>
        <v>-5.4728325080492749E-3</v>
      </c>
      <c r="Q29" s="2">
        <f t="shared" si="4"/>
        <v>31422.197</v>
      </c>
      <c r="AA29" t="s">
        <v>36</v>
      </c>
      <c r="AF29" t="s">
        <v>35</v>
      </c>
    </row>
    <row r="30" spans="1:32">
      <c r="A30" t="s">
        <v>54</v>
      </c>
      <c r="C30" s="11">
        <v>46440.697</v>
      </c>
      <c r="D30" s="6"/>
      <c r="E30">
        <f t="shared" si="0"/>
        <v>18916.3395460885</v>
      </c>
      <c r="F30">
        <f t="shared" si="1"/>
        <v>18916.5</v>
      </c>
      <c r="G30">
        <f t="shared" si="2"/>
        <v>-0.12655000000086147</v>
      </c>
      <c r="J30">
        <f>+G30</f>
        <v>-0.12655000000086147</v>
      </c>
      <c r="O30">
        <f t="shared" si="3"/>
        <v>-5.4728325080492749E-3</v>
      </c>
      <c r="Q30" s="2">
        <f t="shared" si="4"/>
        <v>31422.197</v>
      </c>
    </row>
    <row r="31" spans="1:32">
      <c r="A31" t="s">
        <v>40</v>
      </c>
      <c r="C31" s="11">
        <v>47213.39</v>
      </c>
      <c r="D31" s="6"/>
      <c r="E31">
        <f t="shared" si="0"/>
        <v>19896.044123240776</v>
      </c>
      <c r="F31">
        <f t="shared" si="1"/>
        <v>19896</v>
      </c>
      <c r="G31">
        <f t="shared" si="2"/>
        <v>3.4800000001268927E-2</v>
      </c>
      <c r="I31">
        <f>+G31</f>
        <v>3.4800000001268927E-2</v>
      </c>
      <c r="O31">
        <f t="shared" si="3"/>
        <v>-5.0365010169112767E-3</v>
      </c>
      <c r="Q31" s="2">
        <f t="shared" si="4"/>
        <v>32194.89</v>
      </c>
      <c r="AA31" t="s">
        <v>38</v>
      </c>
      <c r="AB31">
        <v>12</v>
      </c>
      <c r="AD31" t="s">
        <v>39</v>
      </c>
      <c r="AF31" t="s">
        <v>41</v>
      </c>
    </row>
    <row r="32" spans="1:32">
      <c r="A32" t="s">
        <v>42</v>
      </c>
      <c r="C32" s="11">
        <v>47566.35</v>
      </c>
      <c r="D32" s="6"/>
      <c r="E32">
        <f t="shared" si="0"/>
        <v>20343.565360720171</v>
      </c>
      <c r="F32">
        <f t="shared" si="1"/>
        <v>20343.5</v>
      </c>
      <c r="G32">
        <f t="shared" si="2"/>
        <v>5.1549999996495899E-2</v>
      </c>
      <c r="I32">
        <f>+G32</f>
        <v>5.1549999996495899E-2</v>
      </c>
      <c r="O32">
        <f t="shared" si="3"/>
        <v>-4.8371561039105056E-3</v>
      </c>
      <c r="Q32" s="2">
        <f t="shared" si="4"/>
        <v>32547.85</v>
      </c>
      <c r="AA32" t="s">
        <v>38</v>
      </c>
      <c r="AB32">
        <v>7</v>
      </c>
      <c r="AD32" t="s">
        <v>39</v>
      </c>
      <c r="AF32" t="s">
        <v>41</v>
      </c>
    </row>
    <row r="33" spans="1:32">
      <c r="A33" t="s">
        <v>42</v>
      </c>
      <c r="C33" s="11">
        <v>47592.377</v>
      </c>
      <c r="D33" s="6"/>
      <c r="E33">
        <f t="shared" si="0"/>
        <v>20376.56523392925</v>
      </c>
      <c r="F33">
        <f t="shared" si="1"/>
        <v>20376.5</v>
      </c>
      <c r="G33">
        <f t="shared" si="2"/>
        <v>5.1449999999022111E-2</v>
      </c>
      <c r="I33">
        <f>+G33</f>
        <v>5.1449999999022111E-2</v>
      </c>
      <c r="O33">
        <f t="shared" si="3"/>
        <v>-4.8224558086501137E-3</v>
      </c>
      <c r="Q33" s="2">
        <f t="shared" si="4"/>
        <v>32573.877</v>
      </c>
      <c r="AA33" t="s">
        <v>38</v>
      </c>
      <c r="AB33">
        <v>6</v>
      </c>
      <c r="AD33" t="s">
        <v>39</v>
      </c>
      <c r="AF33" t="s">
        <v>41</v>
      </c>
    </row>
    <row r="34" spans="1:32">
      <c r="A34" t="s">
        <v>42</v>
      </c>
      <c r="C34" s="11">
        <v>47612.31</v>
      </c>
      <c r="D34" s="6"/>
      <c r="E34">
        <f t="shared" si="0"/>
        <v>20401.838468365662</v>
      </c>
      <c r="F34">
        <f t="shared" si="1"/>
        <v>20402</v>
      </c>
      <c r="G34">
        <f t="shared" si="2"/>
        <v>-0.12740000000485452</v>
      </c>
      <c r="I34">
        <f>+G34</f>
        <v>-0.12740000000485452</v>
      </c>
      <c r="O34">
        <f t="shared" si="3"/>
        <v>-4.8110964895852655E-3</v>
      </c>
      <c r="Q34" s="2">
        <f t="shared" si="4"/>
        <v>32593.809999999998</v>
      </c>
      <c r="AA34" t="s">
        <v>38</v>
      </c>
      <c r="AB34">
        <v>11</v>
      </c>
      <c r="AD34" t="s">
        <v>39</v>
      </c>
      <c r="AF34" t="s">
        <v>41</v>
      </c>
    </row>
    <row r="35" spans="1:32">
      <c r="A35" t="s">
        <v>43</v>
      </c>
      <c r="C35" s="11">
        <v>47945.317999999999</v>
      </c>
      <c r="D35" s="6"/>
      <c r="E35">
        <f t="shared" si="0"/>
        <v>20824.06238113351</v>
      </c>
      <c r="F35">
        <f t="shared" si="1"/>
        <v>20824</v>
      </c>
      <c r="G35">
        <f t="shared" si="2"/>
        <v>4.9199999994016252E-2</v>
      </c>
      <c r="N35">
        <f>+G35</f>
        <v>4.9199999994016252E-2</v>
      </c>
      <c r="O35">
        <f t="shared" si="3"/>
        <v>-4.6231108956493426E-3</v>
      </c>
      <c r="Q35" s="2">
        <f t="shared" si="4"/>
        <v>32926.817999999999</v>
      </c>
      <c r="AA35" t="s">
        <v>33</v>
      </c>
      <c r="AF35" t="s">
        <v>35</v>
      </c>
    </row>
    <row r="36" spans="1:32">
      <c r="A36" t="s">
        <v>44</v>
      </c>
      <c r="C36" s="11">
        <v>48178.6</v>
      </c>
      <c r="D36">
        <v>3.0000000000000001E-3</v>
      </c>
      <c r="E36">
        <f t="shared" si="0"/>
        <v>21119.842779257004</v>
      </c>
      <c r="F36">
        <f t="shared" si="1"/>
        <v>21120</v>
      </c>
      <c r="G36">
        <f t="shared" si="2"/>
        <v>-0.12400000000343425</v>
      </c>
      <c r="I36">
        <f>+G36</f>
        <v>-0.12400000000343425</v>
      </c>
      <c r="O36">
        <f t="shared" si="3"/>
        <v>-4.4912537017985539E-3</v>
      </c>
      <c r="Q36" s="2">
        <f t="shared" si="4"/>
        <v>33160.1</v>
      </c>
      <c r="AA36" t="s">
        <v>38</v>
      </c>
      <c r="AB36">
        <v>18</v>
      </c>
      <c r="AD36" t="s">
        <v>39</v>
      </c>
      <c r="AF36" t="s">
        <v>41</v>
      </c>
    </row>
    <row r="37" spans="1:32">
      <c r="A37" t="s">
        <v>45</v>
      </c>
      <c r="B37" s="6"/>
      <c r="C37" s="11">
        <v>48273.563000000002</v>
      </c>
      <c r="E37">
        <f t="shared" si="0"/>
        <v>21240.247242297453</v>
      </c>
      <c r="F37">
        <f t="shared" si="1"/>
        <v>21240</v>
      </c>
      <c r="G37">
        <f t="shared" si="2"/>
        <v>0.19499999999970896</v>
      </c>
      <c r="N37">
        <f>+G37</f>
        <v>0.19499999999970896</v>
      </c>
      <c r="O37">
        <f t="shared" si="3"/>
        <v>-4.4377980826698568E-3</v>
      </c>
      <c r="Q37" s="2">
        <f t="shared" si="4"/>
        <v>33255.063000000002</v>
      </c>
      <c r="AA37" t="s">
        <v>33</v>
      </c>
      <c r="AF37" t="s">
        <v>35</v>
      </c>
    </row>
    <row r="38" spans="1:32">
      <c r="A38" t="s">
        <v>46</v>
      </c>
      <c r="B38" s="6" t="s">
        <v>53</v>
      </c>
      <c r="C38" s="11">
        <v>48653.4</v>
      </c>
      <c r="E38">
        <f t="shared" si="0"/>
        <v>21721.846075820973</v>
      </c>
      <c r="F38">
        <f t="shared" si="1"/>
        <v>21722</v>
      </c>
      <c r="G38">
        <f t="shared" si="2"/>
        <v>-0.1213999999963562</v>
      </c>
      <c r="N38">
        <f>+G38</f>
        <v>-0.1213999999963562</v>
      </c>
      <c r="O38">
        <f t="shared" si="3"/>
        <v>-4.2230846791695854E-3</v>
      </c>
      <c r="Q38" s="2">
        <f t="shared" si="4"/>
        <v>33634.9</v>
      </c>
      <c r="AA38" t="s">
        <v>33</v>
      </c>
      <c r="AF38" t="s">
        <v>35</v>
      </c>
    </row>
    <row r="39" spans="1:32">
      <c r="A39" t="s">
        <v>47</v>
      </c>
      <c r="B39" s="6" t="s">
        <v>53</v>
      </c>
      <c r="C39" s="11">
        <v>48699.364999999998</v>
      </c>
      <c r="D39">
        <v>4.0000000000000001E-3</v>
      </c>
      <c r="E39">
        <f t="shared" si="0"/>
        <v>21780.12552301255</v>
      </c>
      <c r="F39">
        <f t="shared" si="1"/>
        <v>21780</v>
      </c>
      <c r="G39">
        <f t="shared" si="2"/>
        <v>9.8999999994703103E-2</v>
      </c>
      <c r="I39">
        <f t="shared" ref="I39:I44" si="5">+G39</f>
        <v>9.8999999994703103E-2</v>
      </c>
      <c r="O39">
        <f t="shared" si="3"/>
        <v>-4.1972477965907147E-3</v>
      </c>
      <c r="Q39" s="2">
        <f t="shared" si="4"/>
        <v>33680.864999999998</v>
      </c>
      <c r="AA39" t="s">
        <v>38</v>
      </c>
      <c r="AB39">
        <v>18</v>
      </c>
      <c r="AD39" t="s">
        <v>39</v>
      </c>
      <c r="AF39" t="s">
        <v>41</v>
      </c>
    </row>
    <row r="40" spans="1:32">
      <c r="A40" t="s">
        <v>47</v>
      </c>
      <c r="B40" s="6" t="s">
        <v>53</v>
      </c>
      <c r="C40" s="11">
        <v>48712.37</v>
      </c>
      <c r="D40">
        <v>3.0000000000000001E-3</v>
      </c>
      <c r="E40">
        <f t="shared" si="0"/>
        <v>21796.614682388743</v>
      </c>
      <c r="F40">
        <f t="shared" si="1"/>
        <v>21796.5</v>
      </c>
      <c r="G40">
        <f t="shared" si="2"/>
        <v>9.0450000003329478E-2</v>
      </c>
      <c r="I40">
        <f t="shared" si="5"/>
        <v>9.0450000003329478E-2</v>
      </c>
      <c r="O40">
        <f t="shared" si="3"/>
        <v>-4.1898976489605187E-3</v>
      </c>
      <c r="Q40" s="2">
        <f t="shared" si="4"/>
        <v>33693.870000000003</v>
      </c>
      <c r="AA40" t="s">
        <v>38</v>
      </c>
      <c r="AB40">
        <v>18</v>
      </c>
      <c r="AD40" t="s">
        <v>39</v>
      </c>
      <c r="AF40" t="s">
        <v>41</v>
      </c>
    </row>
    <row r="41" spans="1:32">
      <c r="A41" t="s">
        <v>48</v>
      </c>
      <c r="B41" s="6" t="s">
        <v>53</v>
      </c>
      <c r="C41" s="11">
        <v>49677.59</v>
      </c>
      <c r="D41">
        <v>5.0000000000000001E-3</v>
      </c>
      <c r="E41">
        <f t="shared" si="0"/>
        <v>23020.426017497142</v>
      </c>
      <c r="F41">
        <f t="shared" si="1"/>
        <v>23020.5</v>
      </c>
      <c r="G41">
        <f t="shared" si="2"/>
        <v>-5.835000000661239E-2</v>
      </c>
      <c r="I41">
        <f t="shared" si="5"/>
        <v>-5.835000000661239E-2</v>
      </c>
      <c r="O41">
        <f t="shared" si="3"/>
        <v>-3.6446503338477959E-3</v>
      </c>
      <c r="Q41" s="2">
        <f t="shared" si="4"/>
        <v>34659.089999999997</v>
      </c>
      <c r="AA41" t="s">
        <v>36</v>
      </c>
      <c r="AB41">
        <v>24</v>
      </c>
      <c r="AD41" t="s">
        <v>39</v>
      </c>
      <c r="AF41" t="s">
        <v>41</v>
      </c>
    </row>
    <row r="42" spans="1:32">
      <c r="A42" t="s">
        <v>49</v>
      </c>
      <c r="B42" s="6"/>
      <c r="C42" s="11">
        <v>50046.587</v>
      </c>
      <c r="D42">
        <v>5.0000000000000001E-3</v>
      </c>
      <c r="E42">
        <f t="shared" si="0"/>
        <v>23488.280715100798</v>
      </c>
      <c r="F42">
        <f t="shared" si="1"/>
        <v>23488.5</v>
      </c>
      <c r="G42">
        <f t="shared" si="2"/>
        <v>-0.17295000000012806</v>
      </c>
      <c r="I42">
        <f t="shared" si="5"/>
        <v>-0.17295000000012806</v>
      </c>
      <c r="O42">
        <f t="shared" si="3"/>
        <v>-3.4361734192458731E-3</v>
      </c>
      <c r="Q42" s="2">
        <f t="shared" si="4"/>
        <v>35028.087</v>
      </c>
      <c r="AA42" t="s">
        <v>38</v>
      </c>
      <c r="AB42">
        <v>12</v>
      </c>
      <c r="AD42" t="s">
        <v>39</v>
      </c>
      <c r="AF42" t="s">
        <v>41</v>
      </c>
    </row>
    <row r="43" spans="1:32">
      <c r="A43" t="s">
        <v>49</v>
      </c>
      <c r="B43" s="6"/>
      <c r="C43" s="11">
        <v>50152.394999999997</v>
      </c>
      <c r="D43">
        <v>5.0000000000000001E-3</v>
      </c>
      <c r="E43">
        <f t="shared" si="0"/>
        <v>23622.435653607197</v>
      </c>
      <c r="F43">
        <f t="shared" si="1"/>
        <v>23622.5</v>
      </c>
      <c r="G43">
        <f t="shared" si="2"/>
        <v>-5.0750000002153683E-2</v>
      </c>
      <c r="I43">
        <f t="shared" si="5"/>
        <v>-5.0750000002153683E-2</v>
      </c>
      <c r="O43">
        <f t="shared" si="3"/>
        <v>-3.3764813112188274E-3</v>
      </c>
      <c r="Q43" s="2">
        <f t="shared" si="4"/>
        <v>35133.894999999997</v>
      </c>
      <c r="AA43" t="s">
        <v>38</v>
      </c>
      <c r="AB43">
        <v>13</v>
      </c>
      <c r="AD43" t="s">
        <v>50</v>
      </c>
      <c r="AF43" t="s">
        <v>41</v>
      </c>
    </row>
    <row r="44" spans="1:32">
      <c r="A44" t="s">
        <v>52</v>
      </c>
      <c r="B44" s="6" t="s">
        <v>53</v>
      </c>
      <c r="C44" s="11">
        <v>50487.567000000003</v>
      </c>
      <c r="D44">
        <v>4.0000000000000001E-3</v>
      </c>
      <c r="E44">
        <f t="shared" si="0"/>
        <v>24047.403321922153</v>
      </c>
      <c r="F44">
        <f t="shared" si="1"/>
        <v>24047.5</v>
      </c>
      <c r="G44">
        <f t="shared" si="2"/>
        <v>-7.624999999825377E-2</v>
      </c>
      <c r="I44">
        <f t="shared" si="5"/>
        <v>-7.624999999825377E-2</v>
      </c>
      <c r="O44">
        <f t="shared" si="3"/>
        <v>-3.1871593268046877E-3</v>
      </c>
      <c r="Q44" s="2">
        <f t="shared" si="4"/>
        <v>35469.067000000003</v>
      </c>
      <c r="AA44" t="s">
        <v>51</v>
      </c>
      <c r="AB44">
        <v>20</v>
      </c>
      <c r="AD44" t="s">
        <v>39</v>
      </c>
      <c r="AF44" t="s">
        <v>41</v>
      </c>
    </row>
    <row r="45" spans="1:32">
      <c r="A45" s="16" t="s">
        <v>59</v>
      </c>
      <c r="B45" s="6" t="s">
        <v>53</v>
      </c>
      <c r="C45" s="17">
        <v>53408.355900000002</v>
      </c>
      <c r="D45" s="17">
        <v>2.0000000000000001E-4</v>
      </c>
      <c r="E45">
        <f>+(C45-C$7)/C$8</f>
        <v>27750.698491188035</v>
      </c>
      <c r="F45">
        <f t="shared" si="1"/>
        <v>27750.5</v>
      </c>
      <c r="G45">
        <f>+C45-(C$7+F45*C$8)</f>
        <v>0.15655000000697328</v>
      </c>
      <c r="I45">
        <f>+G45</f>
        <v>0.15655000000697328</v>
      </c>
      <c r="O45">
        <f>+C$11+C$12*F45</f>
        <v>-1.5376080131916086E-3</v>
      </c>
      <c r="Q45" s="2">
        <f>+C45-15018.5</f>
        <v>38389.855900000002</v>
      </c>
    </row>
    <row r="46" spans="1:32">
      <c r="D46" s="6"/>
    </row>
  </sheetData>
  <sheetProtection sheet="1"/>
  <phoneticPr fontId="8" type="noConversion"/>
  <hyperlinks>
    <hyperlink ref="R24" r:id="rId1" display="http://simbad.u-strasbg.fr/cgi-bin/cdsbib?1986PASP...98..690F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1"/>
  <sheetViews>
    <sheetView topLeftCell="A25" workbookViewId="0">
      <selection activeCell="A51" sqref="A51:D62"/>
    </sheetView>
  </sheetViews>
  <sheetFormatPr defaultRowHeight="12.75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5" t="s">
        <v>86</v>
      </c>
      <c r="I1" s="36" t="s">
        <v>87</v>
      </c>
      <c r="J1" s="37" t="s">
        <v>88</v>
      </c>
    </row>
    <row r="2" spans="1:16">
      <c r="I2" s="38" t="s">
        <v>89</v>
      </c>
      <c r="J2" s="39" t="s">
        <v>90</v>
      </c>
    </row>
    <row r="3" spans="1:16">
      <c r="A3" s="40" t="s">
        <v>91</v>
      </c>
      <c r="I3" s="38" t="s">
        <v>92</v>
      </c>
      <c r="J3" s="39" t="s">
        <v>33</v>
      </c>
    </row>
    <row r="4" spans="1:16">
      <c r="I4" s="38" t="s">
        <v>93</v>
      </c>
      <c r="J4" s="39" t="s">
        <v>33</v>
      </c>
    </row>
    <row r="5" spans="1:16" ht="13.5" thickBot="1">
      <c r="I5" s="41" t="s">
        <v>94</v>
      </c>
      <c r="J5" s="42" t="s">
        <v>95</v>
      </c>
    </row>
    <row r="10" spans="1:16" ht="13.5" thickBot="1"/>
    <row r="11" spans="1:16" ht="12.75" customHeight="1" thickBot="1">
      <c r="A11" s="17" t="str">
        <f t="shared" ref="A11:A42" si="0">P11</f>
        <v>BAVM 39 </v>
      </c>
      <c r="B11" s="6" t="str">
        <f t="shared" ref="B11:B42" si="1">IF(H11=INT(H11),"I","II")</f>
        <v>I</v>
      </c>
      <c r="C11" s="17">
        <f t="shared" ref="C11:C42" si="2">1*G11</f>
        <v>45115.5</v>
      </c>
      <c r="D11" s="16" t="str">
        <f t="shared" ref="D11:D42" si="3">VLOOKUP(F11,I$1:J$5,2,FALSE)</f>
        <v>vis</v>
      </c>
      <c r="E11" s="43">
        <f>VLOOKUP(C11,Active!C$21:E$968,3,FALSE)</f>
        <v>31351.123061694125</v>
      </c>
      <c r="F11" s="6" t="s">
        <v>94</v>
      </c>
      <c r="G11" s="16" t="str">
        <f t="shared" ref="G11:G42" si="4">MID(I11,3,LEN(I11)-3)</f>
        <v>45115.500</v>
      </c>
      <c r="H11" s="17">
        <f t="shared" ref="H11:H42" si="5">1*K11</f>
        <v>-10423</v>
      </c>
      <c r="I11" s="44" t="s">
        <v>126</v>
      </c>
      <c r="J11" s="45" t="s">
        <v>127</v>
      </c>
      <c r="K11" s="44">
        <v>-10423</v>
      </c>
      <c r="L11" s="44" t="s">
        <v>128</v>
      </c>
      <c r="M11" s="45" t="s">
        <v>96</v>
      </c>
      <c r="N11" s="45"/>
      <c r="O11" s="46" t="s">
        <v>125</v>
      </c>
      <c r="P11" s="47" t="s">
        <v>121</v>
      </c>
    </row>
    <row r="12" spans="1:16" ht="12.75" customHeight="1" thickBot="1">
      <c r="A12" s="17" t="str">
        <f t="shared" si="0"/>
        <v> PASP 98.691 </v>
      </c>
      <c r="B12" s="6" t="str">
        <f t="shared" si="1"/>
        <v>I</v>
      </c>
      <c r="C12" s="17">
        <f t="shared" si="2"/>
        <v>46140.641000000003</v>
      </c>
      <c r="D12" s="16" t="str">
        <f t="shared" si="3"/>
        <v>vis</v>
      </c>
      <c r="E12" s="43">
        <f>VLOOKUP(C12,Active!C$21:E$968,3,FALSE)</f>
        <v>33715.330648988354</v>
      </c>
      <c r="F12" s="6" t="s">
        <v>94</v>
      </c>
      <c r="G12" s="16" t="str">
        <f t="shared" si="4"/>
        <v>46140.6410</v>
      </c>
      <c r="H12" s="17">
        <f t="shared" si="5"/>
        <v>-9241</v>
      </c>
      <c r="I12" s="44" t="s">
        <v>129</v>
      </c>
      <c r="J12" s="45" t="s">
        <v>130</v>
      </c>
      <c r="K12" s="44">
        <v>-9241</v>
      </c>
      <c r="L12" s="44" t="s">
        <v>131</v>
      </c>
      <c r="M12" s="45" t="s">
        <v>132</v>
      </c>
      <c r="N12" s="45" t="s">
        <v>133</v>
      </c>
      <c r="O12" s="46" t="s">
        <v>134</v>
      </c>
      <c r="P12" s="46" t="s">
        <v>135</v>
      </c>
    </row>
    <row r="13" spans="1:16" ht="12.75" customHeight="1" thickBot="1">
      <c r="A13" s="17" t="str">
        <f t="shared" si="0"/>
        <v> PASP 98.691 </v>
      </c>
      <c r="B13" s="6" t="str">
        <f t="shared" si="1"/>
        <v>II</v>
      </c>
      <c r="C13" s="17">
        <f t="shared" si="2"/>
        <v>46436.7952</v>
      </c>
      <c r="D13" s="16" t="str">
        <f t="shared" si="3"/>
        <v>vis</v>
      </c>
      <c r="E13" s="43">
        <f>VLOOKUP(C13,Active!C$21:E$968,3,FALSE)</f>
        <v>34398.329384429671</v>
      </c>
      <c r="F13" s="6" t="s">
        <v>94</v>
      </c>
      <c r="G13" s="16" t="str">
        <f t="shared" si="4"/>
        <v>46436.7952</v>
      </c>
      <c r="H13" s="17">
        <f t="shared" si="5"/>
        <v>-8899.5</v>
      </c>
      <c r="I13" s="44" t="s">
        <v>136</v>
      </c>
      <c r="J13" s="45" t="s">
        <v>137</v>
      </c>
      <c r="K13" s="44">
        <v>-8899.5</v>
      </c>
      <c r="L13" s="44" t="s">
        <v>138</v>
      </c>
      <c r="M13" s="45" t="s">
        <v>132</v>
      </c>
      <c r="N13" s="45" t="s">
        <v>133</v>
      </c>
      <c r="O13" s="46" t="s">
        <v>134</v>
      </c>
      <c r="P13" s="46" t="s">
        <v>135</v>
      </c>
    </row>
    <row r="14" spans="1:16" ht="12.75" customHeight="1" thickBot="1">
      <c r="A14" s="17" t="str">
        <f t="shared" si="0"/>
        <v> PASP 98.691 </v>
      </c>
      <c r="B14" s="6" t="str">
        <f t="shared" si="1"/>
        <v>I</v>
      </c>
      <c r="C14" s="17">
        <f t="shared" si="2"/>
        <v>46439.829700000002</v>
      </c>
      <c r="D14" s="16" t="str">
        <f t="shared" si="3"/>
        <v>vis</v>
      </c>
      <c r="E14" s="43">
        <f>VLOOKUP(C14,Active!C$21:E$968,3,FALSE)</f>
        <v>34405.327629474647</v>
      </c>
      <c r="F14" s="6" t="s">
        <v>94</v>
      </c>
      <c r="G14" s="16" t="str">
        <f t="shared" si="4"/>
        <v>46439.8297</v>
      </c>
      <c r="H14" s="17">
        <f t="shared" si="5"/>
        <v>-8896</v>
      </c>
      <c r="I14" s="44" t="s">
        <v>139</v>
      </c>
      <c r="J14" s="45" t="s">
        <v>140</v>
      </c>
      <c r="K14" s="44">
        <v>-8896</v>
      </c>
      <c r="L14" s="44" t="s">
        <v>141</v>
      </c>
      <c r="M14" s="45" t="s">
        <v>132</v>
      </c>
      <c r="N14" s="45" t="s">
        <v>133</v>
      </c>
      <c r="O14" s="46" t="s">
        <v>134</v>
      </c>
      <c r="P14" s="46" t="s">
        <v>135</v>
      </c>
    </row>
    <row r="15" spans="1:16" ht="12.75" customHeight="1" thickBot="1">
      <c r="A15" s="17" t="str">
        <f t="shared" si="0"/>
        <v> PASP 98.691 </v>
      </c>
      <c r="B15" s="6" t="str">
        <f t="shared" si="1"/>
        <v>I</v>
      </c>
      <c r="C15" s="17">
        <f t="shared" si="2"/>
        <v>46440.697</v>
      </c>
      <c r="D15" s="16" t="str">
        <f t="shared" si="3"/>
        <v>vis</v>
      </c>
      <c r="E15" s="43">
        <f>VLOOKUP(C15,Active!C$21:E$968,3,FALSE)</f>
        <v>34407.327819926941</v>
      </c>
      <c r="F15" s="6" t="s">
        <v>94</v>
      </c>
      <c r="G15" s="16" t="str">
        <f t="shared" si="4"/>
        <v>46440.6970</v>
      </c>
      <c r="H15" s="17">
        <f t="shared" si="5"/>
        <v>-8895</v>
      </c>
      <c r="I15" s="44" t="s">
        <v>142</v>
      </c>
      <c r="J15" s="45" t="s">
        <v>143</v>
      </c>
      <c r="K15" s="44">
        <v>-8895</v>
      </c>
      <c r="L15" s="44" t="s">
        <v>144</v>
      </c>
      <c r="M15" s="45" t="s">
        <v>132</v>
      </c>
      <c r="N15" s="45" t="s">
        <v>133</v>
      </c>
      <c r="O15" s="46" t="s">
        <v>134</v>
      </c>
      <c r="P15" s="46" t="s">
        <v>135</v>
      </c>
    </row>
    <row r="16" spans="1:16" ht="12.75" customHeight="1" thickBot="1">
      <c r="A16" s="17" t="str">
        <f t="shared" si="0"/>
        <v> BBS 88 </v>
      </c>
      <c r="B16" s="6" t="str">
        <f t="shared" si="1"/>
        <v>I</v>
      </c>
      <c r="C16" s="17">
        <f t="shared" si="2"/>
        <v>47213.39</v>
      </c>
      <c r="D16" s="16" t="str">
        <f t="shared" si="3"/>
        <v>vis</v>
      </c>
      <c r="E16" s="43">
        <f>VLOOKUP(C16,Active!C$21:E$968,3,FALSE)</f>
        <v>36189.333078958756</v>
      </c>
      <c r="F16" s="6" t="s">
        <v>94</v>
      </c>
      <c r="G16" s="16" t="str">
        <f t="shared" si="4"/>
        <v>47213.39</v>
      </c>
      <c r="H16" s="17">
        <f t="shared" si="5"/>
        <v>-8004</v>
      </c>
      <c r="I16" s="44" t="s">
        <v>145</v>
      </c>
      <c r="J16" s="45" t="s">
        <v>146</v>
      </c>
      <c r="K16" s="44">
        <v>-8004</v>
      </c>
      <c r="L16" s="44" t="s">
        <v>147</v>
      </c>
      <c r="M16" s="45" t="s">
        <v>100</v>
      </c>
      <c r="N16" s="45"/>
      <c r="O16" s="46" t="s">
        <v>148</v>
      </c>
      <c r="P16" s="46" t="s">
        <v>149</v>
      </c>
    </row>
    <row r="17" spans="1:16" ht="12.75" customHeight="1" thickBot="1">
      <c r="A17" s="17" t="str">
        <f t="shared" si="0"/>
        <v> BBS 92 </v>
      </c>
      <c r="B17" s="6" t="str">
        <f t="shared" si="1"/>
        <v>I</v>
      </c>
      <c r="C17" s="17">
        <f t="shared" si="2"/>
        <v>47566.35</v>
      </c>
      <c r="D17" s="16" t="str">
        <f t="shared" si="3"/>
        <v>vis</v>
      </c>
      <c r="E17" s="43">
        <f>VLOOKUP(C17,Active!C$21:E$968,3,FALSE)</f>
        <v>37003.338869392821</v>
      </c>
      <c r="F17" s="6" t="s">
        <v>94</v>
      </c>
      <c r="G17" s="16" t="str">
        <f t="shared" si="4"/>
        <v>47566.35</v>
      </c>
      <c r="H17" s="17">
        <f t="shared" si="5"/>
        <v>-7597</v>
      </c>
      <c r="I17" s="44" t="s">
        <v>150</v>
      </c>
      <c r="J17" s="45" t="s">
        <v>151</v>
      </c>
      <c r="K17" s="44">
        <v>-7597</v>
      </c>
      <c r="L17" s="44" t="s">
        <v>147</v>
      </c>
      <c r="M17" s="45" t="s">
        <v>100</v>
      </c>
      <c r="N17" s="45"/>
      <c r="O17" s="46" t="s">
        <v>148</v>
      </c>
      <c r="P17" s="46" t="s">
        <v>152</v>
      </c>
    </row>
    <row r="18" spans="1:16" ht="12.75" customHeight="1" thickBot="1">
      <c r="A18" s="17" t="str">
        <f t="shared" si="0"/>
        <v> BBS 92 </v>
      </c>
      <c r="B18" s="6" t="str">
        <f t="shared" si="1"/>
        <v>I</v>
      </c>
      <c r="C18" s="17">
        <f t="shared" si="2"/>
        <v>47592.377</v>
      </c>
      <c r="D18" s="16" t="str">
        <f t="shared" si="3"/>
        <v>vis</v>
      </c>
      <c r="E18" s="43">
        <f>VLOOKUP(C18,Active!C$21:E$968,3,FALSE)</f>
        <v>37063.36303277572</v>
      </c>
      <c r="F18" s="6" t="s">
        <v>94</v>
      </c>
      <c r="G18" s="16" t="str">
        <f t="shared" si="4"/>
        <v>47592.377</v>
      </c>
      <c r="H18" s="17">
        <f t="shared" si="5"/>
        <v>-7567</v>
      </c>
      <c r="I18" s="44" t="s">
        <v>153</v>
      </c>
      <c r="J18" s="45" t="s">
        <v>154</v>
      </c>
      <c r="K18" s="44">
        <v>-7567</v>
      </c>
      <c r="L18" s="44" t="s">
        <v>155</v>
      </c>
      <c r="M18" s="45" t="s">
        <v>100</v>
      </c>
      <c r="N18" s="45"/>
      <c r="O18" s="46" t="s">
        <v>148</v>
      </c>
      <c r="P18" s="46" t="s">
        <v>152</v>
      </c>
    </row>
    <row r="19" spans="1:16" ht="12.75" customHeight="1" thickBot="1">
      <c r="A19" s="17" t="str">
        <f t="shared" si="0"/>
        <v> BBS 92 </v>
      </c>
      <c r="B19" s="6" t="str">
        <f t="shared" si="1"/>
        <v>I</v>
      </c>
      <c r="C19" s="17">
        <f t="shared" si="2"/>
        <v>47612.31</v>
      </c>
      <c r="D19" s="16" t="str">
        <f t="shared" si="3"/>
        <v>vis</v>
      </c>
      <c r="E19" s="43">
        <f>VLOOKUP(C19,Active!C$21:E$968,3,FALSE)</f>
        <v>37109.333050400157</v>
      </c>
      <c r="F19" s="6" t="s">
        <v>94</v>
      </c>
      <c r="G19" s="16" t="str">
        <f t="shared" si="4"/>
        <v>47612.31</v>
      </c>
      <c r="H19" s="17">
        <f t="shared" si="5"/>
        <v>-7544</v>
      </c>
      <c r="I19" s="44" t="s">
        <v>156</v>
      </c>
      <c r="J19" s="45" t="s">
        <v>157</v>
      </c>
      <c r="K19" s="44">
        <v>-7544</v>
      </c>
      <c r="L19" s="44" t="s">
        <v>147</v>
      </c>
      <c r="M19" s="45" t="s">
        <v>100</v>
      </c>
      <c r="N19" s="45"/>
      <c r="O19" s="46" t="s">
        <v>148</v>
      </c>
      <c r="P19" s="46" t="s">
        <v>152</v>
      </c>
    </row>
    <row r="20" spans="1:16" ht="12.75" customHeight="1" thickBot="1">
      <c r="A20" s="17" t="str">
        <f t="shared" si="0"/>
        <v>BAVM 56 </v>
      </c>
      <c r="B20" s="6" t="str">
        <f t="shared" si="1"/>
        <v>I</v>
      </c>
      <c r="C20" s="17">
        <f t="shared" si="2"/>
        <v>47945.317999999999</v>
      </c>
      <c r="D20" s="16" t="str">
        <f t="shared" si="3"/>
        <v>vis</v>
      </c>
      <c r="E20" s="43">
        <f>VLOOKUP(C20,Active!C$21:E$968,3,FALSE)</f>
        <v>37877.325004901715</v>
      </c>
      <c r="F20" s="6" t="s">
        <v>94</v>
      </c>
      <c r="G20" s="16" t="str">
        <f t="shared" si="4"/>
        <v>47945.318</v>
      </c>
      <c r="H20" s="17">
        <f t="shared" si="5"/>
        <v>-7160</v>
      </c>
      <c r="I20" s="44" t="s">
        <v>158</v>
      </c>
      <c r="J20" s="45" t="s">
        <v>159</v>
      </c>
      <c r="K20" s="44">
        <v>-7160</v>
      </c>
      <c r="L20" s="44" t="s">
        <v>160</v>
      </c>
      <c r="M20" s="45" t="s">
        <v>96</v>
      </c>
      <c r="N20" s="45"/>
      <c r="O20" s="46" t="s">
        <v>161</v>
      </c>
      <c r="P20" s="47" t="s">
        <v>162</v>
      </c>
    </row>
    <row r="21" spans="1:16" ht="12.75" customHeight="1" thickBot="1">
      <c r="A21" s="17" t="str">
        <f t="shared" si="0"/>
        <v> BBS 97 </v>
      </c>
      <c r="B21" s="6" t="str">
        <f t="shared" si="1"/>
        <v>I</v>
      </c>
      <c r="C21" s="17">
        <f t="shared" si="2"/>
        <v>48178.6</v>
      </c>
      <c r="D21" s="16" t="str">
        <f t="shared" si="3"/>
        <v>vis</v>
      </c>
      <c r="E21" s="43">
        <f>VLOOKUP(C21,Active!C$21:E$968,3,FALSE)</f>
        <v>38415.326191449873</v>
      </c>
      <c r="F21" s="6" t="s">
        <v>94</v>
      </c>
      <c r="G21" s="16" t="str">
        <f t="shared" si="4"/>
        <v>48178.600</v>
      </c>
      <c r="H21" s="17">
        <f t="shared" si="5"/>
        <v>-6891</v>
      </c>
      <c r="I21" s="44" t="s">
        <v>163</v>
      </c>
      <c r="J21" s="45" t="s">
        <v>164</v>
      </c>
      <c r="K21" s="44">
        <v>-6891</v>
      </c>
      <c r="L21" s="44" t="s">
        <v>160</v>
      </c>
      <c r="M21" s="45" t="s">
        <v>132</v>
      </c>
      <c r="N21" s="45" t="s">
        <v>133</v>
      </c>
      <c r="O21" s="46" t="s">
        <v>148</v>
      </c>
      <c r="P21" s="46" t="s">
        <v>165</v>
      </c>
    </row>
    <row r="22" spans="1:16" ht="12.75" customHeight="1" thickBot="1">
      <c r="A22" s="17" t="str">
        <f t="shared" si="0"/>
        <v>BAVM 59 </v>
      </c>
      <c r="B22" s="6" t="str">
        <f t="shared" si="1"/>
        <v>II</v>
      </c>
      <c r="C22" s="17">
        <f t="shared" si="2"/>
        <v>48273.563000000002</v>
      </c>
      <c r="D22" s="16" t="str">
        <f t="shared" si="3"/>
        <v>vis</v>
      </c>
      <c r="E22" s="43">
        <f>VLOOKUP(C22,Active!C$21:E$968,3,FALSE)</f>
        <v>38634.332401436819</v>
      </c>
      <c r="F22" s="6" t="s">
        <v>94</v>
      </c>
      <c r="G22" s="16" t="str">
        <f t="shared" si="4"/>
        <v>48273.563</v>
      </c>
      <c r="H22" s="17">
        <f t="shared" si="5"/>
        <v>-6781.5</v>
      </c>
      <c r="I22" s="44" t="s">
        <v>166</v>
      </c>
      <c r="J22" s="45" t="s">
        <v>167</v>
      </c>
      <c r="K22" s="44">
        <v>-6781.5</v>
      </c>
      <c r="L22" s="44" t="s">
        <v>168</v>
      </c>
      <c r="M22" s="45" t="s">
        <v>96</v>
      </c>
      <c r="N22" s="45"/>
      <c r="O22" s="46" t="s">
        <v>161</v>
      </c>
      <c r="P22" s="47" t="s">
        <v>169</v>
      </c>
    </row>
    <row r="23" spans="1:16" ht="12.75" customHeight="1" thickBot="1">
      <c r="A23" s="17" t="str">
        <f t="shared" si="0"/>
        <v>BAVM 62 </v>
      </c>
      <c r="B23" s="6" t="str">
        <f t="shared" si="1"/>
        <v>II</v>
      </c>
      <c r="C23" s="17">
        <f t="shared" si="2"/>
        <v>48653.4</v>
      </c>
      <c r="D23" s="16" t="str">
        <f t="shared" si="3"/>
        <v>vis</v>
      </c>
      <c r="E23" s="43">
        <f>VLOOKUP(C23,Active!C$21:E$968,3,FALSE)</f>
        <v>39510.32264798347</v>
      </c>
      <c r="F23" s="6" t="s">
        <v>94</v>
      </c>
      <c r="G23" s="16" t="str">
        <f t="shared" si="4"/>
        <v>48653.400</v>
      </c>
      <c r="H23" s="17">
        <f t="shared" si="5"/>
        <v>-6343.5</v>
      </c>
      <c r="I23" s="44" t="s">
        <v>170</v>
      </c>
      <c r="J23" s="45" t="s">
        <v>171</v>
      </c>
      <c r="K23" s="44">
        <v>-6343.5</v>
      </c>
      <c r="L23" s="44" t="s">
        <v>172</v>
      </c>
      <c r="M23" s="45" t="s">
        <v>96</v>
      </c>
      <c r="N23" s="45"/>
      <c r="O23" s="46" t="s">
        <v>173</v>
      </c>
      <c r="P23" s="47" t="s">
        <v>174</v>
      </c>
    </row>
    <row r="24" spans="1:16" ht="12.75" customHeight="1" thickBot="1">
      <c r="A24" s="17" t="str">
        <f t="shared" si="0"/>
        <v> BBS 101 </v>
      </c>
      <c r="B24" s="6" t="str">
        <f t="shared" si="1"/>
        <v>II</v>
      </c>
      <c r="C24" s="17">
        <f t="shared" si="2"/>
        <v>48699.364999999998</v>
      </c>
      <c r="D24" s="16" t="str">
        <f t="shared" si="3"/>
        <v>vis</v>
      </c>
      <c r="E24" s="43">
        <f>VLOOKUP(C24,Active!C$21:E$968,3,FALSE)</f>
        <v>39616.328360124498</v>
      </c>
      <c r="F24" s="6" t="s">
        <v>94</v>
      </c>
      <c r="G24" s="16" t="str">
        <f t="shared" si="4"/>
        <v>48699.365</v>
      </c>
      <c r="H24" s="17">
        <f t="shared" si="5"/>
        <v>-6290.5</v>
      </c>
      <c r="I24" s="44" t="s">
        <v>175</v>
      </c>
      <c r="J24" s="45" t="s">
        <v>176</v>
      </c>
      <c r="K24" s="44">
        <v>-6290.5</v>
      </c>
      <c r="L24" s="44" t="s">
        <v>177</v>
      </c>
      <c r="M24" s="45" t="s">
        <v>132</v>
      </c>
      <c r="N24" s="45" t="s">
        <v>133</v>
      </c>
      <c r="O24" s="46" t="s">
        <v>148</v>
      </c>
      <c r="P24" s="46" t="s">
        <v>178</v>
      </c>
    </row>
    <row r="25" spans="1:16" ht="12.75" customHeight="1" thickBot="1">
      <c r="A25" s="17" t="str">
        <f t="shared" si="0"/>
        <v> BBS 101 </v>
      </c>
      <c r="B25" s="6" t="str">
        <f t="shared" si="1"/>
        <v>II</v>
      </c>
      <c r="C25" s="17">
        <f t="shared" si="2"/>
        <v>48712.37</v>
      </c>
      <c r="D25" s="16" t="str">
        <f t="shared" si="3"/>
        <v>vis</v>
      </c>
      <c r="E25" s="43">
        <f>VLOOKUP(C25,Active!C$21:E$968,3,FALSE)</f>
        <v>39646.320838888663</v>
      </c>
      <c r="F25" s="6" t="s">
        <v>94</v>
      </c>
      <c r="G25" s="16" t="str">
        <f t="shared" si="4"/>
        <v>48712.370</v>
      </c>
      <c r="H25" s="17">
        <f t="shared" si="5"/>
        <v>-6275.5</v>
      </c>
      <c r="I25" s="44" t="s">
        <v>179</v>
      </c>
      <c r="J25" s="45" t="s">
        <v>180</v>
      </c>
      <c r="K25" s="44">
        <v>-6275.5</v>
      </c>
      <c r="L25" s="44" t="s">
        <v>181</v>
      </c>
      <c r="M25" s="45" t="s">
        <v>132</v>
      </c>
      <c r="N25" s="45" t="s">
        <v>133</v>
      </c>
      <c r="O25" s="46" t="s">
        <v>148</v>
      </c>
      <c r="P25" s="46" t="s">
        <v>178</v>
      </c>
    </row>
    <row r="26" spans="1:16" ht="12.75" customHeight="1" thickBot="1">
      <c r="A26" s="17" t="str">
        <f t="shared" si="0"/>
        <v> BBS 110 </v>
      </c>
      <c r="B26" s="6" t="str">
        <f t="shared" si="1"/>
        <v>II</v>
      </c>
      <c r="C26" s="17">
        <f t="shared" si="2"/>
        <v>49677.59</v>
      </c>
      <c r="D26" s="16" t="str">
        <f t="shared" si="3"/>
        <v>vis</v>
      </c>
      <c r="E26" s="43">
        <f>VLOOKUP(C26,Active!C$21:E$968,3,FALSE)</f>
        <v>41872.337013647179</v>
      </c>
      <c r="F26" s="6" t="s">
        <v>94</v>
      </c>
      <c r="G26" s="16" t="str">
        <f t="shared" si="4"/>
        <v>49677.590</v>
      </c>
      <c r="H26" s="17">
        <f t="shared" si="5"/>
        <v>-5162.5</v>
      </c>
      <c r="I26" s="44" t="s">
        <v>182</v>
      </c>
      <c r="J26" s="45" t="s">
        <v>183</v>
      </c>
      <c r="K26" s="44">
        <v>-5162.5</v>
      </c>
      <c r="L26" s="44" t="s">
        <v>184</v>
      </c>
      <c r="M26" s="45" t="s">
        <v>132</v>
      </c>
      <c r="N26" s="45" t="s">
        <v>133</v>
      </c>
      <c r="O26" s="46" t="s">
        <v>148</v>
      </c>
      <c r="P26" s="46" t="s">
        <v>185</v>
      </c>
    </row>
    <row r="27" spans="1:16" ht="12.75" customHeight="1" thickBot="1">
      <c r="A27" s="17" t="str">
        <f t="shared" si="0"/>
        <v> BBS 112 </v>
      </c>
      <c r="B27" s="6" t="str">
        <f t="shared" si="1"/>
        <v>I</v>
      </c>
      <c r="C27" s="17">
        <f t="shared" si="2"/>
        <v>50046.587</v>
      </c>
      <c r="D27" s="16" t="str">
        <f t="shared" si="3"/>
        <v>vis</v>
      </c>
      <c r="E27" s="43">
        <f>VLOOKUP(C27,Active!C$21:E$968,3,FALSE)</f>
        <v>42723.327762323519</v>
      </c>
      <c r="F27" s="6" t="s">
        <v>94</v>
      </c>
      <c r="G27" s="16" t="str">
        <f t="shared" si="4"/>
        <v>50046.587</v>
      </c>
      <c r="H27" s="17">
        <f t="shared" si="5"/>
        <v>-4737</v>
      </c>
      <c r="I27" s="44" t="s">
        <v>186</v>
      </c>
      <c r="J27" s="45" t="s">
        <v>187</v>
      </c>
      <c r="K27" s="44">
        <v>-4737</v>
      </c>
      <c r="L27" s="44" t="s">
        <v>177</v>
      </c>
      <c r="M27" s="45" t="s">
        <v>132</v>
      </c>
      <c r="N27" s="45" t="s">
        <v>133</v>
      </c>
      <c r="O27" s="46" t="s">
        <v>148</v>
      </c>
      <c r="P27" s="46" t="s">
        <v>188</v>
      </c>
    </row>
    <row r="28" spans="1:16" ht="12.75" customHeight="1" thickBot="1">
      <c r="A28" s="17" t="str">
        <f t="shared" si="0"/>
        <v> BBS 112 </v>
      </c>
      <c r="B28" s="6" t="str">
        <f t="shared" si="1"/>
        <v>I</v>
      </c>
      <c r="C28" s="17">
        <f t="shared" si="2"/>
        <v>50152.394999999997</v>
      </c>
      <c r="D28" s="16" t="str">
        <f t="shared" si="3"/>
        <v>vis</v>
      </c>
      <c r="E28" s="43">
        <f>VLOOKUP(C28,Active!C$21:E$968,3,FALSE)</f>
        <v>42967.345001314468</v>
      </c>
      <c r="F28" s="6" t="s">
        <v>94</v>
      </c>
      <c r="G28" s="16" t="str">
        <f t="shared" si="4"/>
        <v>50152.395</v>
      </c>
      <c r="H28" s="17">
        <f t="shared" si="5"/>
        <v>-4615</v>
      </c>
      <c r="I28" s="44" t="s">
        <v>189</v>
      </c>
      <c r="J28" s="45" t="s">
        <v>190</v>
      </c>
      <c r="K28" s="44">
        <v>-4615</v>
      </c>
      <c r="L28" s="44" t="s">
        <v>191</v>
      </c>
      <c r="M28" s="45" t="s">
        <v>100</v>
      </c>
      <c r="N28" s="45"/>
      <c r="O28" s="46" t="s">
        <v>192</v>
      </c>
      <c r="P28" s="46" t="s">
        <v>188</v>
      </c>
    </row>
    <row r="29" spans="1:16" ht="12.75" customHeight="1" thickBot="1">
      <c r="A29" s="17" t="str">
        <f t="shared" si="0"/>
        <v> BBS 116 </v>
      </c>
      <c r="B29" s="6" t="str">
        <f t="shared" si="1"/>
        <v>II</v>
      </c>
      <c r="C29" s="17">
        <f t="shared" si="2"/>
        <v>50487.567000000003</v>
      </c>
      <c r="D29" s="16" t="str">
        <f t="shared" si="3"/>
        <v>vis</v>
      </c>
      <c r="E29" s="43">
        <f>VLOOKUP(C29,Active!C$21:E$968,3,FALSE)</f>
        <v>43740.327630483138</v>
      </c>
      <c r="F29" s="6" t="s">
        <v>94</v>
      </c>
      <c r="G29" s="16" t="str">
        <f t="shared" si="4"/>
        <v>50487.567</v>
      </c>
      <c r="H29" s="17">
        <f t="shared" si="5"/>
        <v>-4228.5</v>
      </c>
      <c r="I29" s="44" t="s">
        <v>193</v>
      </c>
      <c r="J29" s="45" t="s">
        <v>194</v>
      </c>
      <c r="K29" s="44">
        <v>-4228.5</v>
      </c>
      <c r="L29" s="44" t="s">
        <v>177</v>
      </c>
      <c r="M29" s="45" t="s">
        <v>132</v>
      </c>
      <c r="N29" s="45" t="s">
        <v>133</v>
      </c>
      <c r="O29" s="46" t="s">
        <v>148</v>
      </c>
      <c r="P29" s="46" t="s">
        <v>195</v>
      </c>
    </row>
    <row r="30" spans="1:16" ht="12.75" customHeight="1" thickBot="1">
      <c r="A30" s="17" t="str">
        <f t="shared" si="0"/>
        <v>JAAVSO 36(2);171 </v>
      </c>
      <c r="B30" s="6" t="str">
        <f t="shared" si="1"/>
        <v>I</v>
      </c>
      <c r="C30" s="17">
        <f t="shared" si="2"/>
        <v>51978.750399999997</v>
      </c>
      <c r="D30" s="16" t="str">
        <f t="shared" si="3"/>
        <v>vis</v>
      </c>
      <c r="E30" s="43">
        <f>VLOOKUP(C30,Active!C$21:E$968,3,FALSE)</f>
        <v>47179.334663005677</v>
      </c>
      <c r="F30" s="6" t="s">
        <v>94</v>
      </c>
      <c r="G30" s="16" t="str">
        <f t="shared" si="4"/>
        <v>51978.7504</v>
      </c>
      <c r="H30" s="17">
        <f t="shared" si="5"/>
        <v>-2509</v>
      </c>
      <c r="I30" s="44" t="s">
        <v>199</v>
      </c>
      <c r="J30" s="45" t="s">
        <v>200</v>
      </c>
      <c r="K30" s="44">
        <v>-2509</v>
      </c>
      <c r="L30" s="44" t="s">
        <v>201</v>
      </c>
      <c r="M30" s="45" t="s">
        <v>202</v>
      </c>
      <c r="N30" s="45" t="s">
        <v>203</v>
      </c>
      <c r="O30" s="46" t="s">
        <v>204</v>
      </c>
      <c r="P30" s="47" t="s">
        <v>205</v>
      </c>
    </row>
    <row r="31" spans="1:16" ht="12.75" customHeight="1" thickBot="1">
      <c r="A31" s="17" t="str">
        <f t="shared" si="0"/>
        <v>JAAVSO 36(2);171 </v>
      </c>
      <c r="B31" s="6" t="str">
        <f t="shared" si="1"/>
        <v>I</v>
      </c>
      <c r="C31" s="17">
        <f t="shared" si="2"/>
        <v>52311.76</v>
      </c>
      <c r="D31" s="16" t="str">
        <f t="shared" si="3"/>
        <v>vis</v>
      </c>
      <c r="E31" s="43">
        <f>VLOOKUP(C31,Active!C$21:E$968,3,FALSE)</f>
        <v>47947.330307470023</v>
      </c>
      <c r="F31" s="6" t="s">
        <v>94</v>
      </c>
      <c r="G31" s="16" t="str">
        <f t="shared" si="4"/>
        <v>52311.7600</v>
      </c>
      <c r="H31" s="17">
        <f t="shared" si="5"/>
        <v>-2125</v>
      </c>
      <c r="I31" s="44" t="s">
        <v>206</v>
      </c>
      <c r="J31" s="45" t="s">
        <v>207</v>
      </c>
      <c r="K31" s="44">
        <v>-2125</v>
      </c>
      <c r="L31" s="44" t="s">
        <v>208</v>
      </c>
      <c r="M31" s="45" t="s">
        <v>202</v>
      </c>
      <c r="N31" s="45" t="s">
        <v>203</v>
      </c>
      <c r="O31" s="46" t="s">
        <v>209</v>
      </c>
      <c r="P31" s="47" t="s">
        <v>205</v>
      </c>
    </row>
    <row r="32" spans="1:16" ht="12.75" customHeight="1" thickBot="1">
      <c r="A32" s="17" t="str">
        <f t="shared" si="0"/>
        <v> BBS 129 </v>
      </c>
      <c r="B32" s="6" t="str">
        <f t="shared" si="1"/>
        <v>II</v>
      </c>
      <c r="C32" s="17">
        <f t="shared" si="2"/>
        <v>52616.589</v>
      </c>
      <c r="D32" s="16" t="str">
        <f t="shared" si="3"/>
        <v>vis</v>
      </c>
      <c r="E32" s="43">
        <f>VLOOKUP(C32,Active!C$21:E$968,3,FALSE)</f>
        <v>48650.335098642463</v>
      </c>
      <c r="F32" s="6" t="s">
        <v>94</v>
      </c>
      <c r="G32" s="16" t="str">
        <f t="shared" si="4"/>
        <v>52616.589</v>
      </c>
      <c r="H32" s="17">
        <f t="shared" si="5"/>
        <v>-1773.5</v>
      </c>
      <c r="I32" s="44" t="s">
        <v>210</v>
      </c>
      <c r="J32" s="45" t="s">
        <v>211</v>
      </c>
      <c r="K32" s="44">
        <v>-1773.5</v>
      </c>
      <c r="L32" s="44" t="s">
        <v>168</v>
      </c>
      <c r="M32" s="45" t="s">
        <v>132</v>
      </c>
      <c r="N32" s="45" t="s">
        <v>133</v>
      </c>
      <c r="O32" s="46" t="s">
        <v>148</v>
      </c>
      <c r="P32" s="46" t="s">
        <v>212</v>
      </c>
    </row>
    <row r="33" spans="1:16" ht="12.75" customHeight="1" thickBot="1">
      <c r="A33" s="17" t="str">
        <f t="shared" si="0"/>
        <v>JAAVSO 36(2);171 </v>
      </c>
      <c r="B33" s="6" t="str">
        <f t="shared" si="1"/>
        <v>II</v>
      </c>
      <c r="C33" s="17">
        <f t="shared" si="2"/>
        <v>53393.614200000004</v>
      </c>
      <c r="D33" s="16" t="str">
        <f t="shared" si="3"/>
        <v>vis</v>
      </c>
      <c r="E33" s="43">
        <f>VLOOKUP(C33,Active!C$21:E$968,3,FALSE)</f>
        <v>50442.331393160799</v>
      </c>
      <c r="F33" s="6" t="s">
        <v>94</v>
      </c>
      <c r="G33" s="16" t="str">
        <f t="shared" si="4"/>
        <v>53393.6142</v>
      </c>
      <c r="H33" s="17">
        <f t="shared" si="5"/>
        <v>-877.5</v>
      </c>
      <c r="I33" s="44" t="s">
        <v>213</v>
      </c>
      <c r="J33" s="45" t="s">
        <v>214</v>
      </c>
      <c r="K33" s="44">
        <v>-877.5</v>
      </c>
      <c r="L33" s="44" t="s">
        <v>144</v>
      </c>
      <c r="M33" s="45" t="s">
        <v>202</v>
      </c>
      <c r="N33" s="45" t="s">
        <v>203</v>
      </c>
      <c r="O33" s="46" t="s">
        <v>209</v>
      </c>
      <c r="P33" s="47" t="s">
        <v>205</v>
      </c>
    </row>
    <row r="34" spans="1:16" ht="12.75" customHeight="1" thickBot="1">
      <c r="A34" s="17" t="str">
        <f t="shared" si="0"/>
        <v>BAVM 178 </v>
      </c>
      <c r="B34" s="6" t="str">
        <f t="shared" si="1"/>
        <v>II</v>
      </c>
      <c r="C34" s="17">
        <f t="shared" si="2"/>
        <v>53408.355900000002</v>
      </c>
      <c r="D34" s="16" t="str">
        <f t="shared" si="3"/>
        <v>vis</v>
      </c>
      <c r="E34" s="43">
        <f>VLOOKUP(C34,Active!C$21:E$968,3,FALSE)</f>
        <v>50476.329095905698</v>
      </c>
      <c r="F34" s="6" t="s">
        <v>94</v>
      </c>
      <c r="G34" s="16" t="str">
        <f t="shared" si="4"/>
        <v>53408.3559</v>
      </c>
      <c r="H34" s="17">
        <f t="shared" si="5"/>
        <v>-860.5</v>
      </c>
      <c r="I34" s="44" t="s">
        <v>215</v>
      </c>
      <c r="J34" s="45" t="s">
        <v>216</v>
      </c>
      <c r="K34" s="44">
        <v>-860.5</v>
      </c>
      <c r="L34" s="44" t="s">
        <v>217</v>
      </c>
      <c r="M34" s="45" t="s">
        <v>202</v>
      </c>
      <c r="N34" s="45" t="s">
        <v>218</v>
      </c>
      <c r="O34" s="46" t="s">
        <v>219</v>
      </c>
      <c r="P34" s="47" t="s">
        <v>220</v>
      </c>
    </row>
    <row r="35" spans="1:16" ht="12.75" customHeight="1" thickBot="1">
      <c r="A35" s="17" t="str">
        <f t="shared" si="0"/>
        <v>JAAVSO 36(2);171 </v>
      </c>
      <c r="B35" s="6" t="str">
        <f t="shared" si="1"/>
        <v>II</v>
      </c>
      <c r="C35" s="17">
        <f t="shared" si="2"/>
        <v>53438.709699999999</v>
      </c>
      <c r="D35" s="16" t="str">
        <f t="shared" si="3"/>
        <v>vis</v>
      </c>
      <c r="E35" s="43">
        <f>VLOOKUP(C35,Active!C$21:E$968,3,FALSE)</f>
        <v>50546.331841150699</v>
      </c>
      <c r="F35" s="6" t="s">
        <v>94</v>
      </c>
      <c r="G35" s="16" t="str">
        <f t="shared" si="4"/>
        <v>53438.7097</v>
      </c>
      <c r="H35" s="17">
        <f t="shared" si="5"/>
        <v>-825.5</v>
      </c>
      <c r="I35" s="44" t="s">
        <v>221</v>
      </c>
      <c r="J35" s="45" t="s">
        <v>222</v>
      </c>
      <c r="K35" s="44" t="s">
        <v>223</v>
      </c>
      <c r="L35" s="44" t="s">
        <v>224</v>
      </c>
      <c r="M35" s="45" t="s">
        <v>202</v>
      </c>
      <c r="N35" s="45" t="s">
        <v>203</v>
      </c>
      <c r="O35" s="46" t="s">
        <v>209</v>
      </c>
      <c r="P35" s="47" t="s">
        <v>205</v>
      </c>
    </row>
    <row r="36" spans="1:16" ht="12.75" customHeight="1" thickBot="1">
      <c r="A36" s="17" t="str">
        <f t="shared" si="0"/>
        <v>JAAVSO 36(2);171 </v>
      </c>
      <c r="B36" s="6" t="str">
        <f t="shared" si="1"/>
        <v>II</v>
      </c>
      <c r="C36" s="17">
        <f t="shared" si="2"/>
        <v>54156.765200000002</v>
      </c>
      <c r="D36" s="16" t="str">
        <f t="shared" si="3"/>
        <v>vis</v>
      </c>
      <c r="E36" s="43">
        <f>VLOOKUP(C36,Active!C$21:E$968,3,FALSE)</f>
        <v>52202.330636631865</v>
      </c>
      <c r="F36" s="6" t="s">
        <v>94</v>
      </c>
      <c r="G36" s="16" t="str">
        <f t="shared" si="4"/>
        <v>54156.7652</v>
      </c>
      <c r="H36" s="17">
        <f t="shared" si="5"/>
        <v>2.5</v>
      </c>
      <c r="I36" s="44" t="s">
        <v>230</v>
      </c>
      <c r="J36" s="45" t="s">
        <v>231</v>
      </c>
      <c r="K36" s="44" t="s">
        <v>232</v>
      </c>
      <c r="L36" s="44" t="s">
        <v>233</v>
      </c>
      <c r="M36" s="45" t="s">
        <v>202</v>
      </c>
      <c r="N36" s="45" t="s">
        <v>203</v>
      </c>
      <c r="O36" s="46" t="s">
        <v>234</v>
      </c>
      <c r="P36" s="47" t="s">
        <v>205</v>
      </c>
    </row>
    <row r="37" spans="1:16" ht="12.75" customHeight="1" thickBot="1">
      <c r="A37" s="17" t="str">
        <f t="shared" si="0"/>
        <v>JAAVSO 36(2);171 </v>
      </c>
      <c r="B37" s="6" t="str">
        <f t="shared" si="1"/>
        <v>I</v>
      </c>
      <c r="C37" s="17">
        <f t="shared" si="2"/>
        <v>54499.750500000002</v>
      </c>
      <c r="D37" s="16" t="str">
        <f t="shared" si="3"/>
        <v>vis</v>
      </c>
      <c r="E37" s="43">
        <f>VLOOKUP(C37,Active!C$21:E$968,3,FALSE)</f>
        <v>52993.332507194435</v>
      </c>
      <c r="F37" s="6" t="s">
        <v>94</v>
      </c>
      <c r="G37" s="16" t="str">
        <f t="shared" si="4"/>
        <v>54499.7505</v>
      </c>
      <c r="H37" s="17">
        <f t="shared" si="5"/>
        <v>398</v>
      </c>
      <c r="I37" s="44" t="s">
        <v>235</v>
      </c>
      <c r="J37" s="45" t="s">
        <v>236</v>
      </c>
      <c r="K37" s="44" t="s">
        <v>237</v>
      </c>
      <c r="L37" s="44" t="s">
        <v>238</v>
      </c>
      <c r="M37" s="45" t="s">
        <v>202</v>
      </c>
      <c r="N37" s="45" t="s">
        <v>203</v>
      </c>
      <c r="O37" s="46" t="s">
        <v>234</v>
      </c>
      <c r="P37" s="47" t="s">
        <v>205</v>
      </c>
    </row>
    <row r="38" spans="1:16" ht="12.75" customHeight="1" thickBot="1">
      <c r="A38" s="17" t="str">
        <f t="shared" si="0"/>
        <v>JAAVSO 36(2);171 </v>
      </c>
      <c r="B38" s="6" t="str">
        <f t="shared" si="1"/>
        <v>I</v>
      </c>
      <c r="C38" s="17">
        <f t="shared" si="2"/>
        <v>54513.624900000003</v>
      </c>
      <c r="D38" s="16" t="str">
        <f t="shared" si="3"/>
        <v>vis</v>
      </c>
      <c r="E38" s="43">
        <f>VLOOKUP(C38,Active!C$21:E$968,3,FALSE)</f>
        <v>53025.330019487046</v>
      </c>
      <c r="F38" s="6" t="s">
        <v>94</v>
      </c>
      <c r="G38" s="16" t="str">
        <f t="shared" si="4"/>
        <v>54513.6249</v>
      </c>
      <c r="H38" s="17">
        <f t="shared" si="5"/>
        <v>414</v>
      </c>
      <c r="I38" s="44" t="s">
        <v>239</v>
      </c>
      <c r="J38" s="45" t="s">
        <v>240</v>
      </c>
      <c r="K38" s="44" t="s">
        <v>241</v>
      </c>
      <c r="L38" s="44" t="s">
        <v>242</v>
      </c>
      <c r="M38" s="45" t="s">
        <v>202</v>
      </c>
      <c r="N38" s="45" t="s">
        <v>203</v>
      </c>
      <c r="O38" s="46" t="s">
        <v>243</v>
      </c>
      <c r="P38" s="47" t="s">
        <v>205</v>
      </c>
    </row>
    <row r="39" spans="1:16" ht="12.75" customHeight="1" thickBot="1">
      <c r="A39" s="17" t="str">
        <f t="shared" si="0"/>
        <v>OEJV 0116 </v>
      </c>
      <c r="B39" s="6" t="str">
        <f t="shared" si="1"/>
        <v>II</v>
      </c>
      <c r="C39" s="17">
        <f t="shared" si="2"/>
        <v>54797.639000000003</v>
      </c>
      <c r="D39" s="16" t="str">
        <f t="shared" si="3"/>
        <v>vis</v>
      </c>
      <c r="E39" s="43">
        <f>VLOOKUP(C39,Active!C$21:E$968,3,FALSE)</f>
        <v>53680.330931672339</v>
      </c>
      <c r="F39" s="6" t="s">
        <v>94</v>
      </c>
      <c r="G39" s="16" t="str">
        <f t="shared" si="4"/>
        <v>54797.639</v>
      </c>
      <c r="H39" s="17">
        <f t="shared" si="5"/>
        <v>741.5</v>
      </c>
      <c r="I39" s="44" t="s">
        <v>244</v>
      </c>
      <c r="J39" s="45" t="s">
        <v>245</v>
      </c>
      <c r="K39" s="44" t="s">
        <v>246</v>
      </c>
      <c r="L39" s="44" t="s">
        <v>177</v>
      </c>
      <c r="M39" s="45" t="s">
        <v>202</v>
      </c>
      <c r="N39" s="45" t="s">
        <v>228</v>
      </c>
      <c r="O39" s="46" t="s">
        <v>148</v>
      </c>
      <c r="P39" s="47" t="s">
        <v>247</v>
      </c>
    </row>
    <row r="40" spans="1:16" ht="12.75" customHeight="1" thickBot="1">
      <c r="A40" s="17" t="str">
        <f t="shared" si="0"/>
        <v> JAAVSO 38;120 </v>
      </c>
      <c r="B40" s="6" t="str">
        <f t="shared" si="1"/>
        <v>I</v>
      </c>
      <c r="C40" s="17">
        <f t="shared" si="2"/>
        <v>55191.789199999999</v>
      </c>
      <c r="D40" s="16" t="str">
        <f t="shared" si="3"/>
        <v>vis</v>
      </c>
      <c r="E40" s="43">
        <f>VLOOKUP(C40,Active!C$21:E$968,3,FALSE)</f>
        <v>54589.330662805449</v>
      </c>
      <c r="F40" s="6" t="s">
        <v>94</v>
      </c>
      <c r="G40" s="16" t="str">
        <f t="shared" si="4"/>
        <v>55191.7892</v>
      </c>
      <c r="H40" s="17">
        <f t="shared" si="5"/>
        <v>1196</v>
      </c>
      <c r="I40" s="44" t="s">
        <v>255</v>
      </c>
      <c r="J40" s="45" t="s">
        <v>256</v>
      </c>
      <c r="K40" s="44" t="s">
        <v>257</v>
      </c>
      <c r="L40" s="44" t="s">
        <v>258</v>
      </c>
      <c r="M40" s="45" t="s">
        <v>202</v>
      </c>
      <c r="N40" s="45" t="s">
        <v>203</v>
      </c>
      <c r="O40" s="46" t="s">
        <v>209</v>
      </c>
      <c r="P40" s="46" t="s">
        <v>259</v>
      </c>
    </row>
    <row r="41" spans="1:16" ht="12.75" customHeight="1" thickBot="1">
      <c r="A41" s="17" t="str">
        <f t="shared" si="0"/>
        <v> JAAVSO 38;120 </v>
      </c>
      <c r="B41" s="6" t="str">
        <f t="shared" si="1"/>
        <v>I</v>
      </c>
      <c r="C41" s="17">
        <f t="shared" si="2"/>
        <v>55238.619200000001</v>
      </c>
      <c r="D41" s="16" t="str">
        <f t="shared" si="3"/>
        <v>vis</v>
      </c>
      <c r="E41" s="43">
        <f>VLOOKUP(C41,Active!C$21:E$968,3,FALSE)</f>
        <v>54697.331261077285</v>
      </c>
      <c r="F41" s="6" t="s">
        <v>94</v>
      </c>
      <c r="G41" s="16" t="str">
        <f t="shared" si="4"/>
        <v>55238.6192</v>
      </c>
      <c r="H41" s="17">
        <f t="shared" si="5"/>
        <v>1250</v>
      </c>
      <c r="I41" s="44" t="s">
        <v>260</v>
      </c>
      <c r="J41" s="45" t="s">
        <v>261</v>
      </c>
      <c r="K41" s="44" t="s">
        <v>262</v>
      </c>
      <c r="L41" s="44" t="s">
        <v>233</v>
      </c>
      <c r="M41" s="45" t="s">
        <v>202</v>
      </c>
      <c r="N41" s="45" t="s">
        <v>203</v>
      </c>
      <c r="O41" s="46" t="s">
        <v>209</v>
      </c>
      <c r="P41" s="46" t="s">
        <v>259</v>
      </c>
    </row>
    <row r="42" spans="1:16" ht="12.75" customHeight="1" thickBot="1">
      <c r="A42" s="17" t="str">
        <f t="shared" si="0"/>
        <v> JAAVSO 38;120 </v>
      </c>
      <c r="B42" s="6" t="str">
        <f t="shared" si="1"/>
        <v>I</v>
      </c>
      <c r="C42" s="17">
        <f t="shared" si="2"/>
        <v>55244.690300000002</v>
      </c>
      <c r="D42" s="16" t="str">
        <f t="shared" si="3"/>
        <v>vis</v>
      </c>
      <c r="E42" s="43">
        <f>VLOOKUP(C42,Active!C$21:E$968,3,FALSE)</f>
        <v>54711.33259424338</v>
      </c>
      <c r="F42" s="6" t="s">
        <v>94</v>
      </c>
      <c r="G42" s="16" t="str">
        <f t="shared" si="4"/>
        <v>55244.6903</v>
      </c>
      <c r="H42" s="17">
        <f t="shared" si="5"/>
        <v>1257</v>
      </c>
      <c r="I42" s="44" t="s">
        <v>263</v>
      </c>
      <c r="J42" s="45" t="s">
        <v>264</v>
      </c>
      <c r="K42" s="44" t="s">
        <v>265</v>
      </c>
      <c r="L42" s="44" t="s">
        <v>224</v>
      </c>
      <c r="M42" s="45" t="s">
        <v>202</v>
      </c>
      <c r="N42" s="45" t="s">
        <v>203</v>
      </c>
      <c r="O42" s="46" t="s">
        <v>266</v>
      </c>
      <c r="P42" s="46" t="s">
        <v>259</v>
      </c>
    </row>
    <row r="43" spans="1:16" ht="12.75" customHeight="1" thickBot="1">
      <c r="A43" s="17" t="str">
        <f t="shared" ref="A43:A62" si="6">P43</f>
        <v> JAAVSO 39;177 </v>
      </c>
      <c r="B43" s="6" t="str">
        <f t="shared" ref="B43:B62" si="7">IF(H43=INT(H43),"I","II")</f>
        <v>I</v>
      </c>
      <c r="C43" s="17">
        <f t="shared" ref="C43:C62" si="8">1*G43</f>
        <v>55577.701300000001</v>
      </c>
      <c r="D43" s="16" t="str">
        <f t="shared" ref="D43:D62" si="9">VLOOKUP(F43,I$1:J$5,2,FALSE)</f>
        <v>vis</v>
      </c>
      <c r="E43" s="43">
        <f>VLOOKUP(C43,Active!C$21:E$968,3,FALSE)</f>
        <v>55479.331467425152</v>
      </c>
      <c r="F43" s="6" t="s">
        <v>94</v>
      </c>
      <c r="G43" s="16" t="str">
        <f t="shared" ref="G43:G62" si="10">MID(I43,3,LEN(I43)-3)</f>
        <v>55577.7013</v>
      </c>
      <c r="H43" s="17">
        <f t="shared" ref="H43:H62" si="11">1*K43</f>
        <v>1641</v>
      </c>
      <c r="I43" s="44" t="s">
        <v>267</v>
      </c>
      <c r="J43" s="45" t="s">
        <v>268</v>
      </c>
      <c r="K43" s="44" t="s">
        <v>269</v>
      </c>
      <c r="L43" s="44" t="s">
        <v>233</v>
      </c>
      <c r="M43" s="45" t="s">
        <v>202</v>
      </c>
      <c r="N43" s="45" t="s">
        <v>94</v>
      </c>
      <c r="O43" s="46" t="s">
        <v>266</v>
      </c>
      <c r="P43" s="46" t="s">
        <v>270</v>
      </c>
    </row>
    <row r="44" spans="1:16" ht="12.75" customHeight="1" thickBot="1">
      <c r="A44" s="17" t="str">
        <f t="shared" si="6"/>
        <v>BAVM 215 </v>
      </c>
      <c r="B44" s="6" t="str">
        <f t="shared" si="7"/>
        <v>I</v>
      </c>
      <c r="C44" s="17">
        <f t="shared" si="8"/>
        <v>55599.381699999998</v>
      </c>
      <c r="D44" s="16" t="str">
        <f t="shared" si="9"/>
        <v>vis</v>
      </c>
      <c r="E44" s="43">
        <f>VLOOKUP(C44,Active!C$21:E$968,3,FALSE)</f>
        <v>55529.331385656471</v>
      </c>
      <c r="F44" s="6" t="s">
        <v>94</v>
      </c>
      <c r="G44" s="16" t="str">
        <f t="shared" si="10"/>
        <v>55599.3817</v>
      </c>
      <c r="H44" s="17">
        <f t="shared" si="11"/>
        <v>1666</v>
      </c>
      <c r="I44" s="44" t="s">
        <v>271</v>
      </c>
      <c r="J44" s="45" t="s">
        <v>272</v>
      </c>
      <c r="K44" s="44" t="s">
        <v>273</v>
      </c>
      <c r="L44" s="44" t="s">
        <v>233</v>
      </c>
      <c r="M44" s="45" t="s">
        <v>202</v>
      </c>
      <c r="N44" s="45" t="s">
        <v>218</v>
      </c>
      <c r="O44" s="46" t="s">
        <v>274</v>
      </c>
      <c r="P44" s="47" t="s">
        <v>275</v>
      </c>
    </row>
    <row r="45" spans="1:16" ht="12.75" customHeight="1" thickBot="1">
      <c r="A45" s="17" t="str">
        <f t="shared" si="6"/>
        <v>IBVS 5992 </v>
      </c>
      <c r="B45" s="6" t="str">
        <f t="shared" si="7"/>
        <v>I</v>
      </c>
      <c r="C45" s="17">
        <f t="shared" si="8"/>
        <v>55616.7287</v>
      </c>
      <c r="D45" s="16" t="str">
        <f t="shared" si="9"/>
        <v>vis</v>
      </c>
      <c r="E45" s="43">
        <f>VLOOKUP(C45,Active!C$21:E$968,3,FALSE)</f>
        <v>55569.337500929192</v>
      </c>
      <c r="F45" s="6" t="s">
        <v>94</v>
      </c>
      <c r="G45" s="16" t="str">
        <f t="shared" si="10"/>
        <v>55616.7287</v>
      </c>
      <c r="H45" s="17">
        <f t="shared" si="11"/>
        <v>1686</v>
      </c>
      <c r="I45" s="44" t="s">
        <v>276</v>
      </c>
      <c r="J45" s="45" t="s">
        <v>277</v>
      </c>
      <c r="K45" s="44" t="s">
        <v>278</v>
      </c>
      <c r="L45" s="44" t="s">
        <v>279</v>
      </c>
      <c r="M45" s="45" t="s">
        <v>202</v>
      </c>
      <c r="N45" s="45" t="s">
        <v>94</v>
      </c>
      <c r="O45" s="46" t="s">
        <v>280</v>
      </c>
      <c r="P45" s="47" t="s">
        <v>281</v>
      </c>
    </row>
    <row r="46" spans="1:16" ht="12.75" customHeight="1" thickBot="1">
      <c r="A46" s="17" t="str">
        <f t="shared" si="6"/>
        <v> JAAVSO 41;122 </v>
      </c>
      <c r="B46" s="6" t="str">
        <f t="shared" si="7"/>
        <v>I</v>
      </c>
      <c r="C46" s="17">
        <f t="shared" si="8"/>
        <v>55969.684099999999</v>
      </c>
      <c r="D46" s="16" t="str">
        <f t="shared" si="9"/>
        <v>vis</v>
      </c>
      <c r="E46" s="43">
        <f>VLOOKUP(C46,Active!C$21:E$968,3,FALSE)</f>
        <v>56383.332682720247</v>
      </c>
      <c r="F46" s="6" t="s">
        <v>94</v>
      </c>
      <c r="G46" s="16" t="str">
        <f t="shared" si="10"/>
        <v>55969.6841</v>
      </c>
      <c r="H46" s="17">
        <f t="shared" si="11"/>
        <v>2093</v>
      </c>
      <c r="I46" s="44" t="s">
        <v>282</v>
      </c>
      <c r="J46" s="45" t="s">
        <v>283</v>
      </c>
      <c r="K46" s="44" t="s">
        <v>284</v>
      </c>
      <c r="L46" s="44" t="s">
        <v>285</v>
      </c>
      <c r="M46" s="45" t="s">
        <v>202</v>
      </c>
      <c r="N46" s="45" t="s">
        <v>94</v>
      </c>
      <c r="O46" s="46" t="s">
        <v>266</v>
      </c>
      <c r="P46" s="46" t="s">
        <v>286</v>
      </c>
    </row>
    <row r="47" spans="1:16" ht="12.75" customHeight="1" thickBot="1">
      <c r="A47" s="17" t="str">
        <f t="shared" si="6"/>
        <v>IBVS 6029 </v>
      </c>
      <c r="B47" s="6" t="str">
        <f t="shared" si="7"/>
        <v>I</v>
      </c>
      <c r="C47" s="17">
        <f t="shared" si="8"/>
        <v>55982.6947</v>
      </c>
      <c r="D47" s="16" t="str">
        <f t="shared" si="9"/>
        <v>vis</v>
      </c>
      <c r="E47" s="43">
        <f>VLOOKUP(C47,Active!C$21:E$968,3,FALSE)</f>
        <v>56413.33807635415</v>
      </c>
      <c r="F47" s="6" t="s">
        <v>94</v>
      </c>
      <c r="G47" s="16" t="str">
        <f t="shared" si="10"/>
        <v>55982.6947</v>
      </c>
      <c r="H47" s="17">
        <f t="shared" si="11"/>
        <v>2108</v>
      </c>
      <c r="I47" s="44" t="s">
        <v>287</v>
      </c>
      <c r="J47" s="45" t="s">
        <v>288</v>
      </c>
      <c r="K47" s="44" t="s">
        <v>289</v>
      </c>
      <c r="L47" s="44" t="s">
        <v>290</v>
      </c>
      <c r="M47" s="45" t="s">
        <v>202</v>
      </c>
      <c r="N47" s="45" t="s">
        <v>94</v>
      </c>
      <c r="O47" s="46" t="s">
        <v>280</v>
      </c>
      <c r="P47" s="47" t="s">
        <v>291</v>
      </c>
    </row>
    <row r="48" spans="1:16" ht="12.75" customHeight="1" thickBot="1">
      <c r="A48" s="17" t="str">
        <f t="shared" si="6"/>
        <v> JAAVSO 41;328 </v>
      </c>
      <c r="B48" s="6" t="str">
        <f t="shared" si="7"/>
        <v>I</v>
      </c>
      <c r="C48" s="17">
        <f t="shared" si="8"/>
        <v>56328.712899999999</v>
      </c>
      <c r="D48" s="16" t="str">
        <f t="shared" si="9"/>
        <v>vis</v>
      </c>
      <c r="E48" s="43">
        <f>VLOOKUP(C48,Active!C$21:E$968,3,FALSE)</f>
        <v>57211.334501998906</v>
      </c>
      <c r="F48" s="6" t="s">
        <v>94</v>
      </c>
      <c r="G48" s="16" t="str">
        <f t="shared" si="10"/>
        <v>56328.7129</v>
      </c>
      <c r="H48" s="17">
        <f t="shared" si="11"/>
        <v>2507</v>
      </c>
      <c r="I48" s="44" t="s">
        <v>292</v>
      </c>
      <c r="J48" s="45" t="s">
        <v>293</v>
      </c>
      <c r="K48" s="44" t="s">
        <v>294</v>
      </c>
      <c r="L48" s="44" t="s">
        <v>295</v>
      </c>
      <c r="M48" s="45" t="s">
        <v>202</v>
      </c>
      <c r="N48" s="45" t="s">
        <v>94</v>
      </c>
      <c r="O48" s="46" t="s">
        <v>266</v>
      </c>
      <c r="P48" s="46" t="s">
        <v>296</v>
      </c>
    </row>
    <row r="49" spans="1:16" ht="12.75" customHeight="1" thickBot="1">
      <c r="A49" s="17" t="str">
        <f t="shared" si="6"/>
        <v> JAAVSO 42;426 </v>
      </c>
      <c r="B49" s="6" t="str">
        <f t="shared" si="7"/>
        <v>I</v>
      </c>
      <c r="C49" s="17">
        <f t="shared" si="8"/>
        <v>56753.6495</v>
      </c>
      <c r="D49" s="16" t="str">
        <f t="shared" si="9"/>
        <v>vis</v>
      </c>
      <c r="E49" s="43">
        <f>VLOOKUP(C49,Active!C$21:E$968,3,FALSE)</f>
        <v>58191.334652065103</v>
      </c>
      <c r="F49" s="6" t="s">
        <v>94</v>
      </c>
      <c r="G49" s="16" t="str">
        <f t="shared" si="10"/>
        <v>56753.6495</v>
      </c>
      <c r="H49" s="17">
        <f t="shared" si="11"/>
        <v>2997</v>
      </c>
      <c r="I49" s="44" t="s">
        <v>297</v>
      </c>
      <c r="J49" s="45" t="s">
        <v>298</v>
      </c>
      <c r="K49" s="44" t="s">
        <v>299</v>
      </c>
      <c r="L49" s="44" t="s">
        <v>295</v>
      </c>
      <c r="M49" s="45" t="s">
        <v>202</v>
      </c>
      <c r="N49" s="45" t="s">
        <v>94</v>
      </c>
      <c r="O49" s="46" t="s">
        <v>209</v>
      </c>
      <c r="P49" s="46" t="s">
        <v>300</v>
      </c>
    </row>
    <row r="50" spans="1:16" ht="12.75" customHeight="1" thickBot="1">
      <c r="A50" s="17" t="str">
        <f t="shared" si="6"/>
        <v>BAVM 239 </v>
      </c>
      <c r="B50" s="6" t="str">
        <f t="shared" si="7"/>
        <v>I</v>
      </c>
      <c r="C50" s="17">
        <f t="shared" si="8"/>
        <v>57069.317199999998</v>
      </c>
      <c r="D50" s="16" t="str">
        <f t="shared" si="9"/>
        <v>vis</v>
      </c>
      <c r="E50" s="43">
        <f>VLOOKUP(C50,Active!C$21:E$968,3,FALSE)</f>
        <v>58919.335943013095</v>
      </c>
      <c r="F50" s="6" t="s">
        <v>94</v>
      </c>
      <c r="G50" s="16" t="str">
        <f t="shared" si="10"/>
        <v>57069.3172</v>
      </c>
      <c r="H50" s="17">
        <f t="shared" si="11"/>
        <v>3361</v>
      </c>
      <c r="I50" s="44" t="s">
        <v>306</v>
      </c>
      <c r="J50" s="45" t="s">
        <v>307</v>
      </c>
      <c r="K50" s="44" t="s">
        <v>308</v>
      </c>
      <c r="L50" s="44" t="s">
        <v>131</v>
      </c>
      <c r="M50" s="45" t="s">
        <v>202</v>
      </c>
      <c r="N50" s="45" t="s">
        <v>218</v>
      </c>
      <c r="O50" s="46" t="s">
        <v>274</v>
      </c>
      <c r="P50" s="47" t="s">
        <v>309</v>
      </c>
    </row>
    <row r="51" spans="1:16" ht="12.75" customHeight="1" thickBot="1">
      <c r="A51" s="17" t="str">
        <f t="shared" si="6"/>
        <v> IODE 4.1.156 </v>
      </c>
      <c r="B51" s="6" t="str">
        <f t="shared" si="7"/>
        <v>I</v>
      </c>
      <c r="C51" s="17">
        <f t="shared" si="8"/>
        <v>31477.27</v>
      </c>
      <c r="D51" s="16" t="str">
        <f t="shared" si="9"/>
        <v>vis</v>
      </c>
      <c r="E51" s="43">
        <f>VLOOKUP(C51,Active!C$21:E$968,3,FALSE)</f>
        <v>-101.72766153685168</v>
      </c>
      <c r="F51" s="6" t="s">
        <v>94</v>
      </c>
      <c r="G51" s="16" t="str">
        <f t="shared" si="10"/>
        <v>31477.27</v>
      </c>
      <c r="H51" s="17">
        <f t="shared" si="11"/>
        <v>-26150</v>
      </c>
      <c r="I51" s="44" t="s">
        <v>97</v>
      </c>
      <c r="J51" s="45" t="s">
        <v>98</v>
      </c>
      <c r="K51" s="44">
        <v>-26150</v>
      </c>
      <c r="L51" s="44" t="s">
        <v>99</v>
      </c>
      <c r="M51" s="45" t="s">
        <v>100</v>
      </c>
      <c r="N51" s="45"/>
      <c r="O51" s="46" t="s">
        <v>101</v>
      </c>
      <c r="P51" s="46" t="s">
        <v>102</v>
      </c>
    </row>
    <row r="52" spans="1:16" ht="12.75" customHeight="1" thickBot="1">
      <c r="A52" s="17" t="str">
        <f t="shared" si="6"/>
        <v> IODE 4.1.156 </v>
      </c>
      <c r="B52" s="6" t="str">
        <f t="shared" si="7"/>
        <v>I</v>
      </c>
      <c r="C52" s="17">
        <f t="shared" si="8"/>
        <v>31521.33</v>
      </c>
      <c r="D52" s="16" t="str">
        <f t="shared" si="9"/>
        <v>vis</v>
      </c>
      <c r="E52" s="43">
        <f>VLOOKUP(C52,Active!C$21:E$968,3,FALSE)</f>
        <v>-0.11531133703850602</v>
      </c>
      <c r="F52" s="6" t="s">
        <v>94</v>
      </c>
      <c r="G52" s="16" t="str">
        <f t="shared" si="10"/>
        <v>31521.33</v>
      </c>
      <c r="H52" s="17">
        <f t="shared" si="11"/>
        <v>-26099</v>
      </c>
      <c r="I52" s="44" t="s">
        <v>103</v>
      </c>
      <c r="J52" s="45" t="s">
        <v>104</v>
      </c>
      <c r="K52" s="44">
        <v>-26099</v>
      </c>
      <c r="L52" s="44" t="s">
        <v>105</v>
      </c>
      <c r="M52" s="45" t="s">
        <v>100</v>
      </c>
      <c r="N52" s="45"/>
      <c r="O52" s="46" t="s">
        <v>101</v>
      </c>
      <c r="P52" s="46" t="s">
        <v>102</v>
      </c>
    </row>
    <row r="53" spans="1:16" ht="12.75" customHeight="1" thickBot="1">
      <c r="A53" s="17" t="str">
        <f t="shared" si="6"/>
        <v> IODE 4.1.156 </v>
      </c>
      <c r="B53" s="6" t="str">
        <f t="shared" si="7"/>
        <v>I</v>
      </c>
      <c r="C53" s="17">
        <f t="shared" si="8"/>
        <v>31532.36</v>
      </c>
      <c r="D53" s="16" t="str">
        <f t="shared" si="9"/>
        <v>vis</v>
      </c>
      <c r="E53" s="43">
        <f>VLOOKUP(C53,Active!C$21:E$968,3,FALSE)</f>
        <v>25.322369614023405</v>
      </c>
      <c r="F53" s="6" t="s">
        <v>94</v>
      </c>
      <c r="G53" s="16" t="str">
        <f t="shared" si="10"/>
        <v>31532.36</v>
      </c>
      <c r="H53" s="17">
        <f t="shared" si="11"/>
        <v>-26086</v>
      </c>
      <c r="I53" s="44" t="s">
        <v>106</v>
      </c>
      <c r="J53" s="45" t="s">
        <v>107</v>
      </c>
      <c r="K53" s="44">
        <v>-26086</v>
      </c>
      <c r="L53" s="44" t="s">
        <v>108</v>
      </c>
      <c r="M53" s="45" t="s">
        <v>100</v>
      </c>
      <c r="N53" s="45"/>
      <c r="O53" s="46" t="s">
        <v>101</v>
      </c>
      <c r="P53" s="46" t="s">
        <v>102</v>
      </c>
    </row>
    <row r="54" spans="1:16" ht="12.75" customHeight="1" thickBot="1">
      <c r="A54" s="17" t="str">
        <f t="shared" si="6"/>
        <v> IODE 4.1.156 </v>
      </c>
      <c r="B54" s="6" t="str">
        <f t="shared" si="7"/>
        <v>I</v>
      </c>
      <c r="C54" s="17">
        <f t="shared" si="8"/>
        <v>31559.3</v>
      </c>
      <c r="D54" s="16" t="str">
        <f t="shared" si="9"/>
        <v>vis</v>
      </c>
      <c r="E54" s="43">
        <f>VLOOKUP(C54,Active!C$21:E$968,3,FALSE)</f>
        <v>87.452118011271537</v>
      </c>
      <c r="F54" s="6" t="s">
        <v>94</v>
      </c>
      <c r="G54" s="16" t="str">
        <f t="shared" si="10"/>
        <v>31559.30</v>
      </c>
      <c r="H54" s="17">
        <f t="shared" si="11"/>
        <v>-26055</v>
      </c>
      <c r="I54" s="44" t="s">
        <v>109</v>
      </c>
      <c r="J54" s="45" t="s">
        <v>110</v>
      </c>
      <c r="K54" s="44">
        <v>-26055</v>
      </c>
      <c r="L54" s="44" t="s">
        <v>111</v>
      </c>
      <c r="M54" s="45" t="s">
        <v>100</v>
      </c>
      <c r="N54" s="45"/>
      <c r="O54" s="46" t="s">
        <v>101</v>
      </c>
      <c r="P54" s="46" t="s">
        <v>102</v>
      </c>
    </row>
    <row r="55" spans="1:16" ht="12.75" customHeight="1" thickBot="1">
      <c r="A55" s="17" t="str">
        <f t="shared" si="6"/>
        <v> IODE 4.1.156 </v>
      </c>
      <c r="B55" s="6" t="str">
        <f t="shared" si="7"/>
        <v>I</v>
      </c>
      <c r="C55" s="17">
        <f t="shared" si="8"/>
        <v>31562.32</v>
      </c>
      <c r="D55" s="16" t="str">
        <f t="shared" si="9"/>
        <v>vis</v>
      </c>
      <c r="E55" s="43">
        <f>VLOOKUP(C55,Active!C$21:E$968,3,FALSE)</f>
        <v>94.416922768499646</v>
      </c>
      <c r="F55" s="6" t="s">
        <v>94</v>
      </c>
      <c r="G55" s="16" t="str">
        <f t="shared" si="10"/>
        <v>31562.32</v>
      </c>
      <c r="H55" s="17">
        <f t="shared" si="11"/>
        <v>-26052</v>
      </c>
      <c r="I55" s="44" t="s">
        <v>112</v>
      </c>
      <c r="J55" s="45" t="s">
        <v>113</v>
      </c>
      <c r="K55" s="44">
        <v>-26052</v>
      </c>
      <c r="L55" s="44" t="s">
        <v>114</v>
      </c>
      <c r="M55" s="45" t="s">
        <v>100</v>
      </c>
      <c r="N55" s="45"/>
      <c r="O55" s="46" t="s">
        <v>101</v>
      </c>
      <c r="P55" s="46" t="s">
        <v>102</v>
      </c>
    </row>
    <row r="56" spans="1:16" ht="12.75" customHeight="1" thickBot="1">
      <c r="A56" s="17" t="str">
        <f t="shared" si="6"/>
        <v> IODE 4.1.156 </v>
      </c>
      <c r="B56" s="6" t="str">
        <f t="shared" si="7"/>
        <v>I</v>
      </c>
      <c r="C56" s="17">
        <f t="shared" si="8"/>
        <v>31585.32</v>
      </c>
      <c r="D56" s="16" t="str">
        <f t="shared" si="9"/>
        <v>vis</v>
      </c>
      <c r="E56" s="43">
        <f>VLOOKUP(C56,Active!C$21:E$968,3,FALSE)</f>
        <v>147.46013780698431</v>
      </c>
      <c r="F56" s="6" t="s">
        <v>94</v>
      </c>
      <c r="G56" s="16" t="str">
        <f t="shared" si="10"/>
        <v>31585.32</v>
      </c>
      <c r="H56" s="17">
        <f t="shared" si="11"/>
        <v>-26025</v>
      </c>
      <c r="I56" s="44" t="s">
        <v>115</v>
      </c>
      <c r="J56" s="45" t="s">
        <v>116</v>
      </c>
      <c r="K56" s="44">
        <v>-26025</v>
      </c>
      <c r="L56" s="44" t="s">
        <v>111</v>
      </c>
      <c r="M56" s="45" t="s">
        <v>100</v>
      </c>
      <c r="N56" s="45"/>
      <c r="O56" s="46" t="s">
        <v>101</v>
      </c>
      <c r="P56" s="46" t="s">
        <v>102</v>
      </c>
    </row>
    <row r="57" spans="1:16" ht="12.75" customHeight="1" thickBot="1">
      <c r="A57" s="17" t="str">
        <f t="shared" si="6"/>
        <v>BAVM 39 </v>
      </c>
      <c r="B57" s="6" t="str">
        <f t="shared" si="7"/>
        <v>II</v>
      </c>
      <c r="C57" s="17">
        <f t="shared" si="8"/>
        <v>44983.434000000001</v>
      </c>
      <c r="D57" s="16" t="str">
        <f t="shared" si="9"/>
        <v>vis</v>
      </c>
      <c r="E57" s="43">
        <f>VLOOKUP(C57,Active!C$21:E$968,3,FALSE)</f>
        <v>31046.548920943147</v>
      </c>
      <c r="F57" s="6" t="s">
        <v>94</v>
      </c>
      <c r="G57" s="16" t="str">
        <f t="shared" si="10"/>
        <v>44983.434</v>
      </c>
      <c r="H57" s="17">
        <f t="shared" si="11"/>
        <v>-10575.5</v>
      </c>
      <c r="I57" s="44" t="s">
        <v>117</v>
      </c>
      <c r="J57" s="45" t="s">
        <v>118</v>
      </c>
      <c r="K57" s="44">
        <v>-10575.5</v>
      </c>
      <c r="L57" s="44" t="s">
        <v>119</v>
      </c>
      <c r="M57" s="45" t="s">
        <v>100</v>
      </c>
      <c r="N57" s="45"/>
      <c r="O57" s="46" t="s">
        <v>120</v>
      </c>
      <c r="P57" s="47" t="s">
        <v>121</v>
      </c>
    </row>
    <row r="58" spans="1:16" ht="12.75" customHeight="1" thickBot="1">
      <c r="A58" s="17" t="str">
        <f t="shared" si="6"/>
        <v>BAVM 39 </v>
      </c>
      <c r="B58" s="6" t="str">
        <f t="shared" si="7"/>
        <v>II</v>
      </c>
      <c r="C58" s="17">
        <f t="shared" si="8"/>
        <v>45022.345999999998</v>
      </c>
      <c r="D58" s="16" t="str">
        <f t="shared" si="9"/>
        <v>vis</v>
      </c>
      <c r="E58" s="43">
        <f>VLOOKUP(C58,Active!C$21:E$968,3,FALSE)</f>
        <v>31136.288815881293</v>
      </c>
      <c r="F58" s="6" t="s">
        <v>94</v>
      </c>
      <c r="G58" s="16" t="str">
        <f t="shared" si="10"/>
        <v>45022.346</v>
      </c>
      <c r="H58" s="17">
        <f t="shared" si="11"/>
        <v>-10530.5</v>
      </c>
      <c r="I58" s="44" t="s">
        <v>122</v>
      </c>
      <c r="J58" s="45" t="s">
        <v>123</v>
      </c>
      <c r="K58" s="44">
        <v>-10530.5</v>
      </c>
      <c r="L58" s="44" t="s">
        <v>124</v>
      </c>
      <c r="M58" s="45" t="s">
        <v>96</v>
      </c>
      <c r="N58" s="45"/>
      <c r="O58" s="46" t="s">
        <v>125</v>
      </c>
      <c r="P58" s="47" t="s">
        <v>121</v>
      </c>
    </row>
    <row r="59" spans="1:16" ht="12.75" customHeight="1" thickBot="1">
      <c r="A59" s="17" t="str">
        <f t="shared" si="6"/>
        <v> BBS 123 </v>
      </c>
      <c r="B59" s="6" t="str">
        <f t="shared" si="7"/>
        <v>I</v>
      </c>
      <c r="C59" s="17">
        <f t="shared" si="8"/>
        <v>51609.315000000002</v>
      </c>
      <c r="D59" s="16" t="str">
        <f t="shared" si="9"/>
        <v>vis</v>
      </c>
      <c r="E59" s="43">
        <f>VLOOKUP(C59,Active!C$21:E$968,3,FALSE)</f>
        <v>46327.332864526179</v>
      </c>
      <c r="F59" s="6" t="s">
        <v>94</v>
      </c>
      <c r="G59" s="16" t="str">
        <f t="shared" si="10"/>
        <v>51609.315</v>
      </c>
      <c r="H59" s="17">
        <f t="shared" si="11"/>
        <v>-2935</v>
      </c>
      <c r="I59" s="44" t="s">
        <v>196</v>
      </c>
      <c r="J59" s="45" t="s">
        <v>197</v>
      </c>
      <c r="K59" s="44">
        <v>-2935</v>
      </c>
      <c r="L59" s="44" t="s">
        <v>168</v>
      </c>
      <c r="M59" s="45" t="s">
        <v>132</v>
      </c>
      <c r="N59" s="45" t="s">
        <v>133</v>
      </c>
      <c r="O59" s="46" t="s">
        <v>148</v>
      </c>
      <c r="P59" s="46" t="s">
        <v>198</v>
      </c>
    </row>
    <row r="60" spans="1:16" ht="12.75" customHeight="1" thickBot="1">
      <c r="A60" s="17" t="str">
        <f t="shared" si="6"/>
        <v>OEJV 0073 </v>
      </c>
      <c r="B60" s="6" t="str">
        <f t="shared" si="7"/>
        <v>I</v>
      </c>
      <c r="C60" s="17">
        <f t="shared" si="8"/>
        <v>54043.593000000001</v>
      </c>
      <c r="D60" s="16" t="str">
        <f t="shared" si="9"/>
        <v>vis</v>
      </c>
      <c r="E60" s="43">
        <f>VLOOKUP(C60,Active!C$21:E$968,3,FALSE)</f>
        <v>51941.329882676277</v>
      </c>
      <c r="F60" s="6" t="s">
        <v>94</v>
      </c>
      <c r="G60" s="16" t="str">
        <f t="shared" si="10"/>
        <v>54043.593</v>
      </c>
      <c r="H60" s="17">
        <f t="shared" si="11"/>
        <v>-128</v>
      </c>
      <c r="I60" s="44" t="s">
        <v>225</v>
      </c>
      <c r="J60" s="45" t="s">
        <v>226</v>
      </c>
      <c r="K60" s="44" t="s">
        <v>227</v>
      </c>
      <c r="L60" s="44" t="s">
        <v>177</v>
      </c>
      <c r="M60" s="45" t="s">
        <v>202</v>
      </c>
      <c r="N60" s="45" t="s">
        <v>228</v>
      </c>
      <c r="O60" s="46" t="s">
        <v>148</v>
      </c>
      <c r="P60" s="47" t="s">
        <v>229</v>
      </c>
    </row>
    <row r="61" spans="1:16" ht="12.75" customHeight="1" thickBot="1">
      <c r="A61" s="17" t="str">
        <f t="shared" si="6"/>
        <v>OEJV 0107 </v>
      </c>
      <c r="B61" s="6" t="str">
        <f t="shared" si="7"/>
        <v>I</v>
      </c>
      <c r="C61" s="17">
        <f t="shared" si="8"/>
        <v>54841.433400000002</v>
      </c>
      <c r="D61" s="16" t="str">
        <f t="shared" si="9"/>
        <v>vis</v>
      </c>
      <c r="E61" s="43">
        <f>VLOOKUP(C61,Active!C$21:E$968,3,FALSE)</f>
        <v>53781.33074804979</v>
      </c>
      <c r="F61" s="6" t="s">
        <v>94</v>
      </c>
      <c r="G61" s="16" t="str">
        <f t="shared" si="10"/>
        <v>54841.4334</v>
      </c>
      <c r="H61" s="17">
        <f t="shared" si="11"/>
        <v>792</v>
      </c>
      <c r="I61" s="44" t="s">
        <v>248</v>
      </c>
      <c r="J61" s="45" t="s">
        <v>249</v>
      </c>
      <c r="K61" s="44" t="s">
        <v>250</v>
      </c>
      <c r="L61" s="44" t="s">
        <v>251</v>
      </c>
      <c r="M61" s="45" t="s">
        <v>202</v>
      </c>
      <c r="N61" s="45" t="s">
        <v>252</v>
      </c>
      <c r="O61" s="46" t="s">
        <v>253</v>
      </c>
      <c r="P61" s="47" t="s">
        <v>254</v>
      </c>
    </row>
    <row r="62" spans="1:16" ht="12.75" customHeight="1" thickBot="1">
      <c r="A62" s="17" t="str">
        <f t="shared" si="6"/>
        <v> JAAVSO 43-1 </v>
      </c>
      <c r="B62" s="6" t="str">
        <f t="shared" si="7"/>
        <v>I</v>
      </c>
      <c r="C62" s="17">
        <f t="shared" si="8"/>
        <v>57006.875999999997</v>
      </c>
      <c r="D62" s="16" t="str">
        <f t="shared" si="9"/>
        <v>vis</v>
      </c>
      <c r="E62" s="43">
        <f>VLOOKUP(C62,Active!C$21:E$968,3,FALSE)</f>
        <v>58775.332377845225</v>
      </c>
      <c r="F62" s="6" t="s">
        <v>94</v>
      </c>
      <c r="G62" s="16" t="str">
        <f t="shared" si="10"/>
        <v>57006.8760</v>
      </c>
      <c r="H62" s="17">
        <f t="shared" si="11"/>
        <v>3289</v>
      </c>
      <c r="I62" s="44" t="s">
        <v>301</v>
      </c>
      <c r="J62" s="45" t="s">
        <v>302</v>
      </c>
      <c r="K62" s="44" t="s">
        <v>303</v>
      </c>
      <c r="L62" s="44" t="s">
        <v>304</v>
      </c>
      <c r="M62" s="45" t="s">
        <v>202</v>
      </c>
      <c r="N62" s="45" t="s">
        <v>94</v>
      </c>
      <c r="O62" s="46" t="s">
        <v>243</v>
      </c>
      <c r="P62" s="46" t="s">
        <v>305</v>
      </c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8" type="noConversion"/>
  <hyperlinks>
    <hyperlink ref="P57" r:id="rId1" display="http://www.bav-astro.de/sfs/BAVM_link.php?BAVMnr=39" xr:uid="{00000000-0004-0000-0200-000000000000}"/>
    <hyperlink ref="P58" r:id="rId2" display="http://www.bav-astro.de/sfs/BAVM_link.php?BAVMnr=39" xr:uid="{00000000-0004-0000-0200-000001000000}"/>
    <hyperlink ref="P11" r:id="rId3" display="http://www.bav-astro.de/sfs/BAVM_link.php?BAVMnr=39" xr:uid="{00000000-0004-0000-0200-000002000000}"/>
    <hyperlink ref="P20" r:id="rId4" display="http://www.bav-astro.de/sfs/BAVM_link.php?BAVMnr=56" xr:uid="{00000000-0004-0000-0200-000003000000}"/>
    <hyperlink ref="P22" r:id="rId5" display="http://www.bav-astro.de/sfs/BAVM_link.php?BAVMnr=59" xr:uid="{00000000-0004-0000-0200-000004000000}"/>
    <hyperlink ref="P23" r:id="rId6" display="http://www.bav-astro.de/sfs/BAVM_link.php?BAVMnr=62" xr:uid="{00000000-0004-0000-0200-000005000000}"/>
    <hyperlink ref="P30" r:id="rId7" display="http://www.aavso.org/sites/default/files/jaavso/v36n2/171.pdf" xr:uid="{00000000-0004-0000-0200-000006000000}"/>
    <hyperlink ref="P31" r:id="rId8" display="http://www.aavso.org/sites/default/files/jaavso/v36n2/171.pdf" xr:uid="{00000000-0004-0000-0200-000007000000}"/>
    <hyperlink ref="P33" r:id="rId9" display="http://www.aavso.org/sites/default/files/jaavso/v36n2/171.pdf" xr:uid="{00000000-0004-0000-0200-000008000000}"/>
    <hyperlink ref="P34" r:id="rId10" display="http://www.bav-astro.de/sfs/BAVM_link.php?BAVMnr=178" xr:uid="{00000000-0004-0000-0200-000009000000}"/>
    <hyperlink ref="P35" r:id="rId11" display="http://www.aavso.org/sites/default/files/jaavso/v36n2/171.pdf" xr:uid="{00000000-0004-0000-0200-00000A000000}"/>
    <hyperlink ref="P60" r:id="rId12" display="http://var.astro.cz/oejv/issues/oejv0073.pdf" xr:uid="{00000000-0004-0000-0200-00000B000000}"/>
    <hyperlink ref="P36" r:id="rId13" display="http://www.aavso.org/sites/default/files/jaavso/v36n2/171.pdf" xr:uid="{00000000-0004-0000-0200-00000C000000}"/>
    <hyperlink ref="P37" r:id="rId14" display="http://www.aavso.org/sites/default/files/jaavso/v36n2/171.pdf" xr:uid="{00000000-0004-0000-0200-00000D000000}"/>
    <hyperlink ref="P38" r:id="rId15" display="http://www.aavso.org/sites/default/files/jaavso/v36n2/171.pdf" xr:uid="{00000000-0004-0000-0200-00000E000000}"/>
    <hyperlink ref="P39" r:id="rId16" display="http://var.astro.cz/oejv/issues/oejv0116.pdf" xr:uid="{00000000-0004-0000-0200-00000F000000}"/>
    <hyperlink ref="P61" r:id="rId17" display="http://var.astro.cz/oejv/issues/oejv0107.pdf" xr:uid="{00000000-0004-0000-0200-000010000000}"/>
    <hyperlink ref="P44" r:id="rId18" display="http://www.bav-astro.de/sfs/BAVM_link.php?BAVMnr=215" xr:uid="{00000000-0004-0000-0200-000011000000}"/>
    <hyperlink ref="P45" r:id="rId19" display="http://www.konkoly.hu/cgi-bin/IBVS?5992" xr:uid="{00000000-0004-0000-0200-000012000000}"/>
    <hyperlink ref="P47" r:id="rId20" display="http://www.konkoly.hu/cgi-bin/IBVS?6029" xr:uid="{00000000-0004-0000-0200-000013000000}"/>
    <hyperlink ref="P50" r:id="rId21" display="http://www.bav-astro.de/sfs/BAVM_link.php?BAVMnr=239" xr:uid="{00000000-0004-0000-02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2024-01-03T01:36:53Z</dcterms:modified>
</cp:coreProperties>
</file>