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EDCAE63-97F4-4103-A6BA-F6DC2FC8AD2A}" xr6:coauthVersionLast="47" xr6:coauthVersionMax="47" xr10:uidLastSave="{00000000-0000-0000-0000-000000000000}"/>
  <bookViews>
    <workbookView xWindow="13065" yWindow="825" windowWidth="14520" windowHeight="1420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/>
  <c r="G82" i="1" s="1"/>
  <c r="K82" i="1" s="1"/>
  <c r="Q82" i="1"/>
  <c r="E80" i="1"/>
  <c r="F80" i="1"/>
  <c r="E78" i="1"/>
  <c r="F78" i="1"/>
  <c r="E75" i="1"/>
  <c r="F75" i="1"/>
  <c r="U75" i="1"/>
  <c r="E77" i="1"/>
  <c r="F77" i="1"/>
  <c r="U77" i="1"/>
  <c r="Q80" i="1"/>
  <c r="Q81" i="1"/>
  <c r="C7" i="1"/>
  <c r="G80" i="1"/>
  <c r="K80" i="1"/>
  <c r="C8" i="1"/>
  <c r="E56" i="1"/>
  <c r="F56" i="1"/>
  <c r="G56" i="1"/>
  <c r="J56" i="1"/>
  <c r="E57" i="1"/>
  <c r="F57" i="1"/>
  <c r="G57" i="1"/>
  <c r="J57" i="1"/>
  <c r="E58" i="1"/>
  <c r="F58" i="1"/>
  <c r="G58" i="1"/>
  <c r="N58" i="1"/>
  <c r="E59" i="1"/>
  <c r="F59" i="1"/>
  <c r="G59" i="1"/>
  <c r="E60" i="1"/>
  <c r="F60" i="1"/>
  <c r="G60" i="1"/>
  <c r="N60" i="1"/>
  <c r="E61" i="1"/>
  <c r="F61" i="1"/>
  <c r="G61" i="1"/>
  <c r="N61" i="1"/>
  <c r="E62" i="1"/>
  <c r="F62" i="1"/>
  <c r="G62" i="1"/>
  <c r="N62" i="1"/>
  <c r="E63" i="1"/>
  <c r="F63" i="1"/>
  <c r="G63" i="1"/>
  <c r="I63" i="1"/>
  <c r="E65" i="1"/>
  <c r="F65" i="1"/>
  <c r="G65" i="1"/>
  <c r="I65" i="1"/>
  <c r="E67" i="1"/>
  <c r="F67" i="1"/>
  <c r="G67" i="1"/>
  <c r="J67" i="1"/>
  <c r="E68" i="1"/>
  <c r="F68" i="1"/>
  <c r="G68" i="1"/>
  <c r="N68" i="1"/>
  <c r="E69" i="1"/>
  <c r="F69" i="1"/>
  <c r="G69" i="1"/>
  <c r="E70" i="1"/>
  <c r="F70" i="1"/>
  <c r="G70" i="1"/>
  <c r="N70" i="1"/>
  <c r="E71" i="1"/>
  <c r="F71" i="1"/>
  <c r="G71" i="1"/>
  <c r="J71" i="1"/>
  <c r="E72" i="1"/>
  <c r="F72" i="1"/>
  <c r="G72" i="1"/>
  <c r="J72" i="1"/>
  <c r="E73" i="1"/>
  <c r="F73" i="1"/>
  <c r="G73" i="1"/>
  <c r="I73" i="1"/>
  <c r="E74" i="1"/>
  <c r="F74" i="1"/>
  <c r="G74" i="1"/>
  <c r="I74" i="1"/>
  <c r="E64" i="1"/>
  <c r="F64" i="1"/>
  <c r="U64" i="1"/>
  <c r="E66" i="1"/>
  <c r="F66" i="1"/>
  <c r="D9" i="1"/>
  <c r="C9" i="1"/>
  <c r="Q76" i="1"/>
  <c r="Q75" i="1"/>
  <c r="Q79" i="1"/>
  <c r="Q78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U66" i="1"/>
  <c r="Q74" i="1"/>
  <c r="Q73" i="1"/>
  <c r="Q66" i="1"/>
  <c r="Q65" i="1"/>
  <c r="Q63" i="1"/>
  <c r="Q32" i="1"/>
  <c r="Q31" i="1"/>
  <c r="Q30" i="1"/>
  <c r="Q29" i="1"/>
  <c r="Q28" i="1"/>
  <c r="Q27" i="1"/>
  <c r="Q26" i="1"/>
  <c r="Q25" i="1"/>
  <c r="Q24" i="1"/>
  <c r="Q23" i="1"/>
  <c r="Q22" i="1"/>
  <c r="Q21" i="1"/>
  <c r="G42" i="2"/>
  <c r="C42" i="2"/>
  <c r="E42" i="2"/>
  <c r="G66" i="2"/>
  <c r="C66" i="2"/>
  <c r="E66" i="2"/>
  <c r="G65" i="2"/>
  <c r="C65" i="2"/>
  <c r="E65" i="2"/>
  <c r="G64" i="2"/>
  <c r="C64" i="2"/>
  <c r="E64" i="2"/>
  <c r="G63" i="2"/>
  <c r="C63" i="2"/>
  <c r="E63" i="2"/>
  <c r="G41" i="2"/>
  <c r="C41" i="2"/>
  <c r="E41" i="2"/>
  <c r="G40" i="2"/>
  <c r="C40" i="2"/>
  <c r="E40" i="2"/>
  <c r="G62" i="2"/>
  <c r="C62" i="2"/>
  <c r="E62" i="2"/>
  <c r="G61" i="2"/>
  <c r="C61" i="2"/>
  <c r="E61" i="2"/>
  <c r="G60" i="2"/>
  <c r="C60" i="2"/>
  <c r="E60" i="2"/>
  <c r="G39" i="2"/>
  <c r="C39" i="2"/>
  <c r="E39" i="2"/>
  <c r="G59" i="2"/>
  <c r="C59" i="2"/>
  <c r="E59" i="2"/>
  <c r="G58" i="2"/>
  <c r="C58" i="2"/>
  <c r="E58" i="2"/>
  <c r="G38" i="2"/>
  <c r="C38" i="2"/>
  <c r="E38" i="2"/>
  <c r="G57" i="2"/>
  <c r="C57" i="2"/>
  <c r="E57" i="2"/>
  <c r="G56" i="2"/>
  <c r="C56" i="2"/>
  <c r="E56" i="2"/>
  <c r="G55" i="2"/>
  <c r="C55" i="2"/>
  <c r="E55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E55" i="1"/>
  <c r="G31" i="2"/>
  <c r="C31" i="2"/>
  <c r="E31" i="2"/>
  <c r="E54" i="1"/>
  <c r="F54" i="1"/>
  <c r="G54" i="1"/>
  <c r="I54" i="1"/>
  <c r="G30" i="2"/>
  <c r="C30" i="2"/>
  <c r="E30" i="2"/>
  <c r="E53" i="1"/>
  <c r="F53" i="1"/>
  <c r="G53" i="1"/>
  <c r="I53" i="1"/>
  <c r="G29" i="2"/>
  <c r="C29" i="2"/>
  <c r="E29" i="2"/>
  <c r="E52" i="1"/>
  <c r="F52" i="1"/>
  <c r="G52" i="1"/>
  <c r="I52" i="1"/>
  <c r="G28" i="2"/>
  <c r="C28" i="2"/>
  <c r="E28" i="2"/>
  <c r="E51" i="1"/>
  <c r="G27" i="2"/>
  <c r="C27" i="2"/>
  <c r="E27" i="2"/>
  <c r="E50" i="1"/>
  <c r="G26" i="2"/>
  <c r="C26" i="2"/>
  <c r="E26" i="2"/>
  <c r="E49" i="1"/>
  <c r="F49" i="1"/>
  <c r="G49" i="1"/>
  <c r="I49" i="1"/>
  <c r="G25" i="2"/>
  <c r="C25" i="2"/>
  <c r="E25" i="2"/>
  <c r="E48" i="1"/>
  <c r="F48" i="1"/>
  <c r="G48" i="1"/>
  <c r="I48" i="1"/>
  <c r="G24" i="2"/>
  <c r="C24" i="2"/>
  <c r="E24" i="2"/>
  <c r="E47" i="1"/>
  <c r="G23" i="2"/>
  <c r="C23" i="2"/>
  <c r="E23" i="2"/>
  <c r="E46" i="1"/>
  <c r="G22" i="2"/>
  <c r="C22" i="2"/>
  <c r="E22" i="2"/>
  <c r="E45" i="1"/>
  <c r="F45" i="1"/>
  <c r="G45" i="1"/>
  <c r="I45" i="1"/>
  <c r="G21" i="2"/>
  <c r="C21" i="2"/>
  <c r="E21" i="2"/>
  <c r="E44" i="1"/>
  <c r="F44" i="1"/>
  <c r="G44" i="1"/>
  <c r="I44" i="1"/>
  <c r="G20" i="2"/>
  <c r="C20" i="2"/>
  <c r="E20" i="2"/>
  <c r="E43" i="1"/>
  <c r="G19" i="2"/>
  <c r="C19" i="2"/>
  <c r="E19" i="2"/>
  <c r="E42" i="1"/>
  <c r="G18" i="2"/>
  <c r="C18" i="2"/>
  <c r="E18" i="2"/>
  <c r="E41" i="1"/>
  <c r="F41" i="1"/>
  <c r="G41" i="1"/>
  <c r="I41" i="1"/>
  <c r="G17" i="2"/>
  <c r="C17" i="2"/>
  <c r="E17" i="2"/>
  <c r="E40" i="1"/>
  <c r="F40" i="1"/>
  <c r="G40" i="1"/>
  <c r="I40" i="1"/>
  <c r="G16" i="2"/>
  <c r="C16" i="2"/>
  <c r="E16" i="2"/>
  <c r="E39" i="1"/>
  <c r="G15" i="2"/>
  <c r="C15" i="2"/>
  <c r="E15" i="2"/>
  <c r="E38" i="1"/>
  <c r="G14" i="2"/>
  <c r="C14" i="2"/>
  <c r="E14" i="2"/>
  <c r="E37" i="1"/>
  <c r="F37" i="1"/>
  <c r="G13" i="2"/>
  <c r="C13" i="2"/>
  <c r="E13" i="2"/>
  <c r="E36" i="1"/>
  <c r="F36" i="1"/>
  <c r="G36" i="1"/>
  <c r="I36" i="1"/>
  <c r="G12" i="2"/>
  <c r="C12" i="2"/>
  <c r="E12" i="2"/>
  <c r="E35" i="1"/>
  <c r="G11" i="2"/>
  <c r="C11" i="2"/>
  <c r="E11" i="2"/>
  <c r="E34" i="1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H42" i="2"/>
  <c r="D42" i="2"/>
  <c r="B42" i="2"/>
  <c r="A42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41" i="2"/>
  <c r="D41" i="2"/>
  <c r="B41" i="2"/>
  <c r="A41" i="2"/>
  <c r="H40" i="2"/>
  <c r="D40" i="2"/>
  <c r="B40" i="2"/>
  <c r="A40" i="2"/>
  <c r="H62" i="2"/>
  <c r="D62" i="2"/>
  <c r="B62" i="2"/>
  <c r="A62" i="2"/>
  <c r="H61" i="2"/>
  <c r="D61" i="2"/>
  <c r="B61" i="2"/>
  <c r="A61" i="2"/>
  <c r="H60" i="2"/>
  <c r="D60" i="2"/>
  <c r="B60" i="2"/>
  <c r="A60" i="2"/>
  <c r="H39" i="2"/>
  <c r="D39" i="2"/>
  <c r="B39" i="2"/>
  <c r="A39" i="2"/>
  <c r="H59" i="2"/>
  <c r="D59" i="2"/>
  <c r="B59" i="2"/>
  <c r="A59" i="2"/>
  <c r="H58" i="2"/>
  <c r="D58" i="2"/>
  <c r="B58" i="2"/>
  <c r="A58" i="2"/>
  <c r="H38" i="2"/>
  <c r="D38" i="2"/>
  <c r="B38" i="2"/>
  <c r="A38" i="2"/>
  <c r="H57" i="2"/>
  <c r="D57" i="2"/>
  <c r="B57" i="2"/>
  <c r="A57" i="2"/>
  <c r="H56" i="2"/>
  <c r="D56" i="2"/>
  <c r="B56" i="2"/>
  <c r="A56" i="2"/>
  <c r="H55" i="2"/>
  <c r="D55" i="2"/>
  <c r="B55" i="2"/>
  <c r="A55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Q77" i="1"/>
  <c r="Q67" i="1"/>
  <c r="F55" i="1"/>
  <c r="G55" i="1"/>
  <c r="Q72" i="1"/>
  <c r="Q71" i="1"/>
  <c r="Q70" i="1"/>
  <c r="Q69" i="1"/>
  <c r="N69" i="1"/>
  <c r="Q68" i="1"/>
  <c r="Q62" i="1"/>
  <c r="Q61" i="1"/>
  <c r="E33" i="1"/>
  <c r="F33" i="1"/>
  <c r="F34" i="1"/>
  <c r="F35" i="1"/>
  <c r="G35" i="1"/>
  <c r="I35" i="1"/>
  <c r="F38" i="1"/>
  <c r="F39" i="1"/>
  <c r="G39" i="1"/>
  <c r="I39" i="1"/>
  <c r="F42" i="1"/>
  <c r="G42" i="1"/>
  <c r="I42" i="1"/>
  <c r="F43" i="1"/>
  <c r="G43" i="1"/>
  <c r="I43" i="1"/>
  <c r="F46" i="1"/>
  <c r="G46" i="1"/>
  <c r="I46" i="1"/>
  <c r="F47" i="1"/>
  <c r="G47" i="1"/>
  <c r="I47" i="1"/>
  <c r="F50" i="1"/>
  <c r="G50" i="1"/>
  <c r="I50" i="1"/>
  <c r="F51" i="1"/>
  <c r="G51" i="1"/>
  <c r="I51" i="1"/>
  <c r="F16" i="1"/>
  <c r="Q64" i="1"/>
  <c r="G34" i="1"/>
  <c r="I34" i="1"/>
  <c r="Q58" i="1"/>
  <c r="Q60" i="1"/>
  <c r="C17" i="1"/>
  <c r="J59" i="1"/>
  <c r="Q59" i="1"/>
  <c r="Q57" i="1"/>
  <c r="Q56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I55" i="1"/>
  <c r="Q55" i="1"/>
  <c r="G33" i="1"/>
  <c r="H33" i="1"/>
  <c r="Q33" i="1"/>
  <c r="E76" i="1"/>
  <c r="F76" i="1"/>
  <c r="E79" i="1"/>
  <c r="F79" i="1"/>
  <c r="G79" i="1"/>
  <c r="I79" i="1"/>
  <c r="G78" i="1"/>
  <c r="I78" i="1"/>
  <c r="E81" i="1"/>
  <c r="F81" i="1"/>
  <c r="G81" i="1"/>
  <c r="K81" i="1"/>
  <c r="U76" i="1"/>
  <c r="C12" i="1"/>
  <c r="C11" i="1"/>
  <c r="O82" i="1" l="1"/>
  <c r="O81" i="1"/>
  <c r="O23" i="1"/>
  <c r="C15" i="1"/>
  <c r="F18" i="1" s="1"/>
  <c r="O52" i="1"/>
  <c r="O24" i="1"/>
  <c r="O67" i="1"/>
  <c r="O72" i="1"/>
  <c r="O70" i="1"/>
  <c r="O21" i="1"/>
  <c r="O76" i="1"/>
  <c r="O75" i="1"/>
  <c r="O73" i="1"/>
  <c r="O79" i="1"/>
  <c r="O68" i="1"/>
  <c r="O58" i="1"/>
  <c r="O55" i="1"/>
  <c r="O53" i="1"/>
  <c r="O54" i="1"/>
  <c r="O74" i="1"/>
  <c r="O28" i="1"/>
  <c r="O63" i="1"/>
  <c r="O30" i="1"/>
  <c r="O56" i="1"/>
  <c r="O50" i="1"/>
  <c r="O22" i="1"/>
  <c r="O62" i="1"/>
  <c r="O25" i="1"/>
  <c r="O26" i="1"/>
  <c r="O60" i="1"/>
  <c r="O69" i="1"/>
  <c r="O80" i="1"/>
  <c r="O66" i="1"/>
  <c r="O59" i="1"/>
  <c r="O51" i="1"/>
  <c r="O64" i="1"/>
  <c r="O27" i="1"/>
  <c r="O29" i="1"/>
  <c r="O31" i="1"/>
  <c r="O61" i="1"/>
  <c r="O71" i="1"/>
  <c r="O32" i="1"/>
  <c r="O77" i="1"/>
  <c r="O65" i="1"/>
  <c r="O78" i="1"/>
  <c r="O57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<sst xmlns="http://schemas.openxmlformats.org/spreadsheetml/2006/main" count="659" uniqueCount="298">
  <si>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</si>
  <si>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</si>
  <si>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</si>
  <si>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</si>
  <si>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</si>
  <si>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</si>
  <si>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</si>
  <si>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</si>
  <si>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</si>
  <si>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</si>
  <si>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</si>
  <si>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</si>
  <si>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</si>
  <si>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</si>
  <si>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</si>
  <si>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</si>
  <si>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</si>
  <si>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</si>
  <si>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</si>
  <si>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</si>
  <si>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</si>
  <si>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</si>
  <si>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</si>
  <si>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</si>
  <si>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</si>
  <si>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</si>
  <si>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</si>
  <si>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</si>
  <si>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</si>
  <si>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</si>
  <si>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Bull.87</t>
  </si>
  <si>
    <t>B</t>
  </si>
  <si>
    <t>v</t>
  </si>
  <si>
    <t>BBSAG Bull.88</t>
  </si>
  <si>
    <t>BBSAG Bull.91</t>
  </si>
  <si>
    <t>Paschke A</t>
  </si>
  <si>
    <t>BBSAG Bull.94</t>
  </si>
  <si>
    <t>BBSAG Bull.97</t>
  </si>
  <si>
    <t>Walas O</t>
  </si>
  <si>
    <t>BBSAG Bull.98</t>
  </si>
  <si>
    <t>BBSAG Bull.100</t>
  </si>
  <si>
    <t>phe</t>
  </si>
  <si>
    <t>BBSAG Bull.110</t>
  </si>
  <si>
    <t>BBSAG Bull.118</t>
  </si>
  <si>
    <t>Eccentric orbit?</t>
  </si>
  <si>
    <t>I</t>
  </si>
  <si>
    <t>IBVS 5583</t>
  </si>
  <si>
    <t># of data points:</t>
  </si>
  <si>
    <t>BF CMi / gsc 0186-2507</t>
  </si>
  <si>
    <t>IBVS 5731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</si>
  <si>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</si>
  <si>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</si>
  <si>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</si>
  <si>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</si>
  <si>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</si>
  <si>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</si>
  <si>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</si>
  <si>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</si>
  <si>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</si>
  <si>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CCD+I</t>
  </si>
  <si>
    <t>IBVS 5938</t>
  </si>
  <si>
    <t>Add cycle</t>
  </si>
  <si>
    <t>Old Cycle</t>
  </si>
  <si>
    <t>OEJV 0094</t>
  </si>
  <si>
    <t>OEJV 0137</t>
  </si>
  <si>
    <t>IBVS 5992</t>
  </si>
  <si>
    <t>IBVS 6007</t>
  </si>
  <si>
    <t>IBVS 6010</t>
  </si>
  <si>
    <t>.0015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</si>
  <si>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</si>
  <si>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</si>
  <si>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</si>
  <si>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</si>
  <si>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</si>
  <si>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</si>
  <si>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</si>
  <si>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</si>
  <si>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</si>
  <si>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</si>
  <si>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</si>
  <si>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</si>
  <si>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2433687.431 </t>
  </si>
  <si>
    <t> 09.02.1951 22:20 </t>
  </si>
  <si>
    <t> -0.026 </t>
  </si>
  <si>
    <t>P </t>
  </si>
  <si>
    <t> T.Berthold </t>
  </si>
  <si>
    <t> MHAR 16.13 </t>
  </si>
  <si>
    <t>2435419.503 </t>
  </si>
  <si>
    <t> 08.11.1955 00:04 </t>
  </si>
  <si>
    <t> -0.009 </t>
  </si>
  <si>
    <t>2436627.337 </t>
  </si>
  <si>
    <t> 27.02.1959 20:05 </t>
  </si>
  <si>
    <t> -0.008 </t>
  </si>
  <si>
    <t>2437705.313 </t>
  </si>
  <si>
    <t> 09.02.1962 19:30 </t>
  </si>
  <si>
    <t> 0.008 </t>
  </si>
  <si>
    <t>2438331.634 </t>
  </si>
  <si>
    <t> 29.10.1963 03:12 </t>
  </si>
  <si>
    <t> -0.611 </t>
  </si>
  <si>
    <t>2438496.372 </t>
  </si>
  <si>
    <t> 10.04.1964 20:55 </t>
  </si>
  <si>
    <t> 0.013 </t>
  </si>
  <si>
    <t>2438849.407 </t>
  </si>
  <si>
    <t> 29.03.1965 21:46 </t>
  </si>
  <si>
    <t> 0.025 </t>
  </si>
  <si>
    <t>2439940.355 </t>
  </si>
  <si>
    <t> 24.03.1968 20:31 </t>
  </si>
  <si>
    <t> 0.026 </t>
  </si>
  <si>
    <t>2441248.558 </t>
  </si>
  <si>
    <t> 24.10.1971 01:23 </t>
  </si>
  <si>
    <t> 0.038 </t>
  </si>
  <si>
    <t>2441351.275 </t>
  </si>
  <si>
    <t> 03.02.1972 18:36 </t>
  </si>
  <si>
    <t> 0.036 </t>
  </si>
  <si>
    <t>2441601.563 </t>
  </si>
  <si>
    <t> 11.10.1972 01:30 </t>
  </si>
  <si>
    <t> 0.020 </t>
  </si>
  <si>
    <t>2444169.567 </t>
  </si>
  <si>
    <t> 23.10.1979 01:36 </t>
  </si>
  <si>
    <t> 0.049 </t>
  </si>
  <si>
    <t>2447206.309 </t>
  </si>
  <si>
    <t> 14.02.1988 19:24 </t>
  </si>
  <si>
    <t> 0.086 </t>
  </si>
  <si>
    <t>V </t>
  </si>
  <si>
    <t> H.Peter </t>
  </si>
  <si>
    <t> BBS 87 </t>
  </si>
  <si>
    <t>2447233.431 </t>
  </si>
  <si>
    <t> 12.03.1988 22:20 </t>
  </si>
  <si>
    <t> 0.053 </t>
  </si>
  <si>
    <t> BBS 88 </t>
  </si>
  <si>
    <t>2447239.329 </t>
  </si>
  <si>
    <t> 18.03.1988 19:53 </t>
  </si>
  <si>
    <t> 0.047 </t>
  </si>
  <si>
    <t>2447529.457 </t>
  </si>
  <si>
    <t> 02.01.1989 22:58 </t>
  </si>
  <si>
    <t> -0.271 </t>
  </si>
  <si>
    <t> BBS 91 </t>
  </si>
  <si>
    <t>2447555.402 </t>
  </si>
  <si>
    <t> 28.01.1989 21:38 </t>
  </si>
  <si>
    <t> -0.301 </t>
  </si>
  <si>
    <t>2447566.346 </t>
  </si>
  <si>
    <t> 08.02.1989 20:18 </t>
  </si>
  <si>
    <t> 0.017 </t>
  </si>
  <si>
    <t>2447586.392 </t>
  </si>
  <si>
    <t> 28.02.1989 21:24 </t>
  </si>
  <si>
    <t>2447592.296 </t>
  </si>
  <si>
    <t> 06.03.1989 19:06 </t>
  </si>
  <si>
    <t>2447612.351 </t>
  </si>
  <si>
    <t> 26.03.1989 20:25 </t>
  </si>
  <si>
    <t> -0.025 </t>
  </si>
  <si>
    <t>2447612.39 </t>
  </si>
  <si>
    <t> 26.03.1989 21:21 </t>
  </si>
  <si>
    <t> 0.01 </t>
  </si>
  <si>
    <t> A.Paschke </t>
  </si>
  <si>
    <t>2447925.285 </t>
  </si>
  <si>
    <t> 02.02.1990 18:50 </t>
  </si>
  <si>
    <t> 0.029 </t>
  </si>
  <si>
    <t> BBS 94 </t>
  </si>
  <si>
    <t>2447932.318 </t>
  </si>
  <si>
    <t> 09.02.1990 19:37 </t>
  </si>
  <si>
    <t> -0.022 </t>
  </si>
  <si>
    <t>2447939.356 </t>
  </si>
  <si>
    <t> 16.02.1990 20:32 </t>
  </si>
  <si>
    <t> -0.068 </t>
  </si>
  <si>
    <t>2447945.326 </t>
  </si>
  <si>
    <t> 22.02.1990 19:49 </t>
  </si>
  <si>
    <t> -0.001 </t>
  </si>
  <si>
    <t>2447958.301 </t>
  </si>
  <si>
    <t> 07.03.1990 19:13 </t>
  </si>
  <si>
    <t> -0.014 </t>
  </si>
  <si>
    <t>2448266.470 </t>
  </si>
  <si>
    <t> 09.01.1991 23:16 </t>
  </si>
  <si>
    <t> -0.002 </t>
  </si>
  <si>
    <t>E </t>
  </si>
  <si>
    <t>?</t>
  </si>
  <si>
    <t> BBS 97 </t>
  </si>
  <si>
    <t>2448305.446 </t>
  </si>
  <si>
    <t> 17.02.1991 22:42 </t>
  </si>
  <si>
    <t> 0.012 </t>
  </si>
  <si>
    <t> O.Walas </t>
  </si>
  <si>
    <t> BBS 98 </t>
  </si>
  <si>
    <t>2448331.387 </t>
  </si>
  <si>
    <t> 15.03.1991 21:17 </t>
  </si>
  <si>
    <t>2448651.352 </t>
  </si>
  <si>
    <t> 29.01.1992 20:26 </t>
  </si>
  <si>
    <t> -0.021 </t>
  </si>
  <si>
    <t> BBS 100 </t>
  </si>
  <si>
    <t>2448677.355 </t>
  </si>
  <si>
    <t> 24.02.1992 20:31 </t>
  </si>
  <si>
    <t> 0.007 </t>
  </si>
  <si>
    <t>2449704.530 </t>
  </si>
  <si>
    <t> 18.12.1994 00:43 </t>
  </si>
  <si>
    <t> BBS 110 </t>
  </si>
  <si>
    <t>2450789.587 </t>
  </si>
  <si>
    <t> 07.12.1997 02:05 </t>
  </si>
  <si>
    <t> 0.006 </t>
  </si>
  <si>
    <t> BBS 118 </t>
  </si>
  <si>
    <t>2452683.3959 </t>
  </si>
  <si>
    <t> 12.02.2003 21:30 </t>
  </si>
  <si>
    <t> 0.0069 </t>
  </si>
  <si>
    <t> M.Zejda </t>
  </si>
  <si>
    <t>IBVS 5583 </t>
  </si>
  <si>
    <t>2453768.4321 </t>
  </si>
  <si>
    <t> 01.02.2006 22:22 </t>
  </si>
  <si>
    <t> -0.0002 </t>
  </si>
  <si>
    <t>C </t>
  </si>
  <si>
    <t>-I</t>
  </si>
  <si>
    <t> F.Agerer </t>
  </si>
  <si>
    <t>BAVM 178 </t>
  </si>
  <si>
    <t>2453833.37141 </t>
  </si>
  <si>
    <t> 07.04.2006 20:54 </t>
  </si>
  <si>
    <t>328.5</t>
  </si>
  <si>
    <t> 0.00180 </t>
  </si>
  <si>
    <t> L.Šmelcer </t>
  </si>
  <si>
    <t>OEJV 0074 </t>
  </si>
  <si>
    <t>2454153.3309 </t>
  </si>
  <si>
    <t> 21.02.2007 19:56 </t>
  </si>
  <si>
    <t>464</t>
  </si>
  <si>
    <t> -0.0025 </t>
  </si>
  <si>
    <t>BAVM 186 </t>
  </si>
  <si>
    <t>2454192.29443 </t>
  </si>
  <si>
    <t> 01.04.2007 19:03 </t>
  </si>
  <si>
    <t> -0.00137 </t>
  </si>
  <si>
    <t>R</t>
  </si>
  <si>
    <t>2454500.4530 </t>
  </si>
  <si>
    <t> 03.02.2008 22:52 </t>
  </si>
  <si>
    <t> 0.0002 </t>
  </si>
  <si>
    <t>OEJV 0094 </t>
  </si>
  <si>
    <t>2454506.3497 </t>
  </si>
  <si>
    <t> 09.02.2008 20:23 </t>
  </si>
  <si>
    <t> -0.0065 </t>
  </si>
  <si>
    <t> R.Uhlar </t>
  </si>
  <si>
    <t>2454845.2066 </t>
  </si>
  <si>
    <t> 13.01.2009 16:57 </t>
  </si>
  <si>
    <t> -0.0043 </t>
  </si>
  <si>
    <t> H.Itoh </t>
  </si>
  <si>
    <t>VSB 50 </t>
  </si>
  <si>
    <t>2454868.8339 </t>
  </si>
  <si>
    <t> 06.02.2009 08:00 </t>
  </si>
  <si>
    <t> 0.0095 </t>
  </si>
  <si>
    <t> S.Dvorak </t>
  </si>
  <si>
    <t>IBVS 5938 </t>
  </si>
  <si>
    <t>2455198.2304 </t>
  </si>
  <si>
    <t> 01.01.2010 17:31 </t>
  </si>
  <si>
    <t> -0.0033 </t>
  </si>
  <si>
    <t>VSB 51 </t>
  </si>
  <si>
    <t>2455233.0855 </t>
  </si>
  <si>
    <t> 05.02.2010 14:03 </t>
  </si>
  <si>
    <t> 0.6122 </t>
  </si>
  <si>
    <t>Rc</t>
  </si>
  <si>
    <t> K.Nagai </t>
  </si>
  <si>
    <t>2455244.2715 </t>
  </si>
  <si>
    <t> 16.02.2010 18:30 </t>
  </si>
  <si>
    <t> -0.0086 </t>
  </si>
  <si>
    <t> M.&amp; K.Rätz </t>
  </si>
  <si>
    <t>BAVM 220 </t>
  </si>
  <si>
    <t>2455591.3914 </t>
  </si>
  <si>
    <t> 29.01.2011 21:23 </t>
  </si>
  <si>
    <t> -0.0081 </t>
  </si>
  <si>
    <t>OEJV 0137 </t>
  </si>
  <si>
    <t>2455591.3919 </t>
  </si>
  <si>
    <t> 29.01.2011 21:24 </t>
  </si>
  <si>
    <t> -0.0076 </t>
  </si>
  <si>
    <t>2455591.3927 </t>
  </si>
  <si>
    <t> 29.01.2011 21:25 </t>
  </si>
  <si>
    <t> -0.0068 </t>
  </si>
  <si>
    <t>2455638.616 </t>
  </si>
  <si>
    <t> 18.03.2011 02:47 </t>
  </si>
  <si>
    <t> -0.011 </t>
  </si>
  <si>
    <t> R.Diethelm </t>
  </si>
  <si>
    <t>IBVS 5992 </t>
  </si>
  <si>
    <t>2455873.57009 </t>
  </si>
  <si>
    <t> 08.11.2011 01:40 </t>
  </si>
  <si>
    <t> -0.01154 </t>
  </si>
  <si>
    <t> H.Kucáková </t>
  </si>
  <si>
    <t>IBVS 6007 </t>
  </si>
  <si>
    <t>2456296.2553 </t>
  </si>
  <si>
    <t> 03.01.2013 18:07 </t>
  </si>
  <si>
    <t> -0.0091 </t>
  </si>
  <si>
    <t>VSB 56 </t>
  </si>
  <si>
    <t>2456321.0481 </t>
  </si>
  <si>
    <t> 28.01.2013 13:09 </t>
  </si>
  <si>
    <t> -0.0106 </t>
  </si>
  <si>
    <t>Ic</t>
  </si>
  <si>
    <t>2456321.0528 </t>
  </si>
  <si>
    <t> 28.01.2013 13:16 </t>
  </si>
  <si>
    <t> -0.0059 </t>
  </si>
  <si>
    <t>2456321.0544 </t>
  </si>
  <si>
    <t> 28.01.2013 13:18 </t>
  </si>
  <si>
    <t>2457074.3312 </t>
  </si>
  <si>
    <t> 20.02.2015 19:56 </t>
  </si>
  <si>
    <t>BAVM 239 </t>
  </si>
  <si>
    <t>II</t>
  </si>
  <si>
    <t>BAD?</t>
  </si>
  <si>
    <t>VSB_061</t>
  </si>
  <si>
    <t>OEJV 0179</t>
  </si>
  <si>
    <t>IBVS 6234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</si>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</sst>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5" fillId="24" borderId="18" xfId="0" applyNumberFormat="1" applyFont="1" applyFill="1" applyBorder="1" applyAlignment="1">
      <alignment horizontal="center" vertical="top" wrapText="1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6" fillId="0" borderId="0" xfId="42" applyAlignment="1">
      <alignment horizontal="left"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CMi - O-C Diagr.</a:t>
            </a:r>
          </a:p>
        </c:rich>
      </c:tx>
      <c:layout>
        <c:manualLayout>
          <c:xMode val="edge"/>
          <c:yMode val="edge"/>
          <c:x val="0.382215288611544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723926380368099"/>
          <c:w val="0.815912636505460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6-411B-A198-B3A4742FBB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-4.3652000022120774E-3</c:v>
                </c:pt>
                <c:pt idx="1">
                  <c:v>3.9259999175556004E-4</c:v>
                </c:pt>
                <c:pt idx="2">
                  <c:v>-7.9992000028141774E-3</c:v>
                </c:pt>
                <c:pt idx="3">
                  <c:v>1.1349999986123294E-3</c:v>
                </c:pt>
                <c:pt idx="4">
                  <c:v>-3.2106300008308608E-2</c:v>
                </c:pt>
                <c:pt idx="5">
                  <c:v>1.1300000187475234E-4</c:v>
                </c:pt>
                <c:pt idx="6">
                  <c:v>9.8195999962626956E-3</c:v>
                </c:pt>
                <c:pt idx="7">
                  <c:v>3.4012000032817014E-3</c:v>
                </c:pt>
                <c:pt idx="8">
                  <c:v>5.6483999942429364E-3</c:v>
                </c:pt>
                <c:pt idx="9">
                  <c:v>2.9141999984858558E-3</c:v>
                </c:pt>
                <c:pt idx="10">
                  <c:v>-1.4645000002929009E-2</c:v>
                </c:pt>
                <c:pt idx="11">
                  <c:v>-4.0000000008149073E-3</c:v>
                </c:pt>
                <c:pt idx="13">
                  <c:v>1.2064799993822817E-2</c:v>
                </c:pt>
                <c:pt idx="14">
                  <c:v>-2.1727000006649178E-2</c:v>
                </c:pt>
                <c:pt idx="15">
                  <c:v>-2.7160000005096663E-2</c:v>
                </c:pt>
                <c:pt idx="18">
                  <c:v>-6.0348200007865671E-2</c:v>
                </c:pt>
                <c:pt idx="19">
                  <c:v>-8.6020400005509146E-2</c:v>
                </c:pt>
                <c:pt idx="20">
                  <c:v>-8.545340000273427E-2</c:v>
                </c:pt>
                <c:pt idx="21">
                  <c:v>-0.10212560000218218</c:v>
                </c:pt>
                <c:pt idx="22">
                  <c:v>-6.3125600005150773E-2</c:v>
                </c:pt>
                <c:pt idx="23">
                  <c:v>-5.0074600003426895E-2</c:v>
                </c:pt>
                <c:pt idx="24">
                  <c:v>-0.10119420000410173</c:v>
                </c:pt>
                <c:pt idx="25">
                  <c:v>-0.14731380000011995</c:v>
                </c:pt>
                <c:pt idx="26">
                  <c:v>-8.0746800005726982E-2</c:v>
                </c:pt>
                <c:pt idx="27">
                  <c:v>-9.3299400003161281E-2</c:v>
                </c:pt>
                <c:pt idx="28">
                  <c:v>-8.3502000001317356E-2</c:v>
                </c:pt>
                <c:pt idx="29">
                  <c:v>-7.0159800001420081E-2</c:v>
                </c:pt>
                <c:pt idx="30">
                  <c:v>-0.1042650000017602</c:v>
                </c:pt>
                <c:pt idx="31">
                  <c:v>-0.1053336000040872</c:v>
                </c:pt>
                <c:pt idx="32">
                  <c:v>-7.7438799999072216E-2</c:v>
                </c:pt>
                <c:pt idx="33">
                  <c:v>-9.9780800002918113E-2</c:v>
                </c:pt>
                <c:pt idx="34">
                  <c:v>-9.3766200006939471E-2</c:v>
                </c:pt>
                <c:pt idx="42">
                  <c:v>-0.13263720000395551</c:v>
                </c:pt>
                <c:pt idx="44">
                  <c:v>-0.13413060000311816</c:v>
                </c:pt>
                <c:pt idx="52">
                  <c:v>-0.14776860000711167</c:v>
                </c:pt>
                <c:pt idx="53">
                  <c:v>-0.14468720000877511</c:v>
                </c:pt>
                <c:pt idx="57">
                  <c:v>-0.16244779989938252</c:v>
                </c:pt>
                <c:pt idx="58">
                  <c:v>-0.15098880000732606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6-411B-A198-B3A4742FBB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35">
                  <c:v>-0.10617260000435635</c:v>
                </c:pt>
                <c:pt idx="36">
                  <c:v>-0.12095800000679446</c:v>
                </c:pt>
                <c:pt idx="38">
                  <c:v>-0.12598960000468651</c:v>
                </c:pt>
                <c:pt idx="46">
                  <c:v>-0.13980799999990268</c:v>
                </c:pt>
                <c:pt idx="50">
                  <c:v>-0.14463240000623045</c:v>
                </c:pt>
                <c:pt idx="51">
                  <c:v>-0.14717580000433372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66-411B-A198-B3A4742FBB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59">
                  <c:v>-0.16569700000400189</c:v>
                </c:pt>
                <c:pt idx="60">
                  <c:v>-0.15815320000547217</c:v>
                </c:pt>
                <c:pt idx="61">
                  <c:v>-0.17626620000373805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66-411B-A198-B3A4742FBB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6-411B-A198-B3A4742FBB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6-411B-A198-B3A4742FBB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  <c:pt idx="37">
                  <c:v>-0.11941099999967264</c:v>
                </c:pt>
                <c:pt idx="39">
                  <c:v>-0.12511739999899874</c:v>
                </c:pt>
                <c:pt idx="40">
                  <c:v>-0.1257400000031339</c:v>
                </c:pt>
                <c:pt idx="41">
                  <c:v>-0.13247299999784445</c:v>
                </c:pt>
                <c:pt idx="47">
                  <c:v>-0.1417384000014863</c:v>
                </c:pt>
                <c:pt idx="48">
                  <c:v>-0.1412384000068414</c:v>
                </c:pt>
                <c:pt idx="49">
                  <c:v>-0.14043840000522323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66-411B-A198-B3A4742FBB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7.538708442498028E-2</c:v>
                </c:pt>
                <c:pt idx="1">
                  <c:v>5.8382899693027526E-2</c:v>
                </c:pt>
                <c:pt idx="2">
                  <c:v>4.6525175779743508E-2</c:v>
                </c:pt>
                <c:pt idx="3">
                  <c:v>3.5942475943156679E-2</c:v>
                </c:pt>
                <c:pt idx="4">
                  <c:v>2.9793382555085152E-2</c:v>
                </c:pt>
                <c:pt idx="5">
                  <c:v>2.8176420203273697E-2</c:v>
                </c:pt>
                <c:pt idx="6">
                  <c:v>2.471067294025129E-2</c:v>
                </c:pt>
                <c:pt idx="7">
                  <c:v>1.4000470695994749E-2</c:v>
                </c:pt>
                <c:pt idx="8">
                  <c:v>1.1575009052628808E-3</c:v>
                </c:pt>
                <c:pt idx="9">
                  <c:v>1.4907277187509171E-4</c:v>
                </c:pt>
                <c:pt idx="10">
                  <c:v>-2.3082463577595268E-3</c:v>
                </c:pt>
                <c:pt idx="11">
                  <c:v>-2.7518949692454303E-2</c:v>
                </c:pt>
                <c:pt idx="29">
                  <c:v>-6.8122670971275362E-2</c:v>
                </c:pt>
                <c:pt idx="30">
                  <c:v>-6.83776757866148E-2</c:v>
                </c:pt>
                <c:pt idx="31">
                  <c:v>-7.1518871466477923E-2</c:v>
                </c:pt>
                <c:pt idx="32">
                  <c:v>-7.1773876281817361E-2</c:v>
                </c:pt>
                <c:pt idx="33">
                  <c:v>-8.1858157615695273E-2</c:v>
                </c:pt>
                <c:pt idx="34">
                  <c:v>-9.2510404220101941E-2</c:v>
                </c:pt>
                <c:pt idx="35">
                  <c:v>-0.11110257348394122</c:v>
                </c:pt>
                <c:pt idx="36">
                  <c:v>-0.12175482008834788</c:v>
                </c:pt>
                <c:pt idx="37">
                  <c:v>-0.12239233212669648</c:v>
                </c:pt>
                <c:pt idx="38">
                  <c:v>-0.1255335278065596</c:v>
                </c:pt>
                <c:pt idx="39">
                  <c:v>-0.12591603502956877</c:v>
                </c:pt>
                <c:pt idx="40">
                  <c:v>-0.12894131942973214</c:v>
                </c:pt>
                <c:pt idx="41">
                  <c:v>-0.12899927506958203</c:v>
                </c:pt>
                <c:pt idx="42">
                  <c:v>-0.13232592879696473</c:v>
                </c:pt>
                <c:pt idx="43">
                  <c:v>-0.13255775135636422</c:v>
                </c:pt>
                <c:pt idx="44">
                  <c:v>-0.13579167605998713</c:v>
                </c:pt>
                <c:pt idx="45">
                  <c:v>-0.13613361433510138</c:v>
                </c:pt>
                <c:pt idx="46">
                  <c:v>-0.13624373005081614</c:v>
                </c:pt>
                <c:pt idx="47">
                  <c:v>-0.13965152167398867</c:v>
                </c:pt>
                <c:pt idx="48">
                  <c:v>-0.13965152167398867</c:v>
                </c:pt>
                <c:pt idx="49">
                  <c:v>-0.13965152167398867</c:v>
                </c:pt>
                <c:pt idx="50">
                  <c:v>-0.14011516679278768</c:v>
                </c:pt>
                <c:pt idx="51">
                  <c:v>-0.1424218012588126</c:v>
                </c:pt>
                <c:pt idx="52">
                  <c:v>-0.1465714250720635</c:v>
                </c:pt>
                <c:pt idx="53">
                  <c:v>-0.14681483875943299</c:v>
                </c:pt>
                <c:pt idx="54">
                  <c:v>-0.15380428892532769</c:v>
                </c:pt>
                <c:pt idx="55">
                  <c:v>-0.15409986268856202</c:v>
                </c:pt>
                <c:pt idx="56">
                  <c:v>-0.15420997840427678</c:v>
                </c:pt>
                <c:pt idx="57">
                  <c:v>-0.15714253378068035</c:v>
                </c:pt>
                <c:pt idx="58">
                  <c:v>-0.15754822325962947</c:v>
                </c:pt>
                <c:pt idx="59">
                  <c:v>-0.16133852210581118</c:v>
                </c:pt>
                <c:pt idx="60">
                  <c:v>-0.16431744199409465</c:v>
                </c:pt>
                <c:pt idx="61">
                  <c:v>-0.17944386399491152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66-411B-A198-B3A4742FBB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6">
                  <c:v>0.2422796999962884</c:v>
                </c:pt>
                <c:pt idx="17">
                  <c:v>0.21217449999676319</c:v>
                </c:pt>
                <c:pt idx="43">
                  <c:v>-0.11906920000910759</c:v>
                </c:pt>
                <c:pt idx="45">
                  <c:v>-0.10928530000091996</c:v>
                </c:pt>
                <c:pt idx="54">
                  <c:v>-7.2606999921845272E-2</c:v>
                </c:pt>
                <c:pt idx="55">
                  <c:v>-0.25331529990944546</c:v>
                </c:pt>
                <c:pt idx="56">
                  <c:v>-0.14433800000551855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66-411B-A198-B3A4742F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45872"/>
        <c:axId val="1"/>
      </c:scatterChart>
      <c:valAx>
        <c:axId val="60484587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4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001560062402497E-2"/>
          <c:y val="0.92024539877300615"/>
          <c:w val="0.884555382215288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CMi - O-C Diagr.</a:t>
            </a:r>
          </a:p>
        </c:rich>
      </c:tx>
      <c:layout>
        <c:manualLayout>
          <c:xMode val="edge"/>
          <c:yMode val="edge"/>
          <c:x val="0.3816205918185460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2605098515835"/>
          <c:y val="0.14678942920199375"/>
          <c:w val="0.8224311575629709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85-470C-9419-E2A618F966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-4.3652000022120774E-3</c:v>
                </c:pt>
                <c:pt idx="1">
                  <c:v>3.9259999175556004E-4</c:v>
                </c:pt>
                <c:pt idx="2">
                  <c:v>-7.9992000028141774E-3</c:v>
                </c:pt>
                <c:pt idx="3">
                  <c:v>1.1349999986123294E-3</c:v>
                </c:pt>
                <c:pt idx="4">
                  <c:v>-3.2106300008308608E-2</c:v>
                </c:pt>
                <c:pt idx="5">
                  <c:v>1.1300000187475234E-4</c:v>
                </c:pt>
                <c:pt idx="6">
                  <c:v>9.8195999962626956E-3</c:v>
                </c:pt>
                <c:pt idx="7">
                  <c:v>3.4012000032817014E-3</c:v>
                </c:pt>
                <c:pt idx="8">
                  <c:v>5.6483999942429364E-3</c:v>
                </c:pt>
                <c:pt idx="9">
                  <c:v>2.9141999984858558E-3</c:v>
                </c:pt>
                <c:pt idx="10">
                  <c:v>-1.4645000002929009E-2</c:v>
                </c:pt>
                <c:pt idx="11">
                  <c:v>-4.0000000008149073E-3</c:v>
                </c:pt>
                <c:pt idx="13">
                  <c:v>1.2064799993822817E-2</c:v>
                </c:pt>
                <c:pt idx="14">
                  <c:v>-2.1727000006649178E-2</c:v>
                </c:pt>
                <c:pt idx="15">
                  <c:v>-2.7160000005096663E-2</c:v>
                </c:pt>
                <c:pt idx="18">
                  <c:v>-6.0348200007865671E-2</c:v>
                </c:pt>
                <c:pt idx="19">
                  <c:v>-8.6020400005509146E-2</c:v>
                </c:pt>
                <c:pt idx="20">
                  <c:v>-8.545340000273427E-2</c:v>
                </c:pt>
                <c:pt idx="21">
                  <c:v>-0.10212560000218218</c:v>
                </c:pt>
                <c:pt idx="22">
                  <c:v>-6.3125600005150773E-2</c:v>
                </c:pt>
                <c:pt idx="23">
                  <c:v>-5.0074600003426895E-2</c:v>
                </c:pt>
                <c:pt idx="24">
                  <c:v>-0.10119420000410173</c:v>
                </c:pt>
                <c:pt idx="25">
                  <c:v>-0.14731380000011995</c:v>
                </c:pt>
                <c:pt idx="26">
                  <c:v>-8.0746800005726982E-2</c:v>
                </c:pt>
                <c:pt idx="27">
                  <c:v>-9.3299400003161281E-2</c:v>
                </c:pt>
                <c:pt idx="28">
                  <c:v>-8.3502000001317356E-2</c:v>
                </c:pt>
                <c:pt idx="29">
                  <c:v>-7.0159800001420081E-2</c:v>
                </c:pt>
                <c:pt idx="30">
                  <c:v>-0.1042650000017602</c:v>
                </c:pt>
                <c:pt idx="31">
                  <c:v>-0.1053336000040872</c:v>
                </c:pt>
                <c:pt idx="32">
                  <c:v>-7.7438799999072216E-2</c:v>
                </c:pt>
                <c:pt idx="33">
                  <c:v>-9.9780800002918113E-2</c:v>
                </c:pt>
                <c:pt idx="34">
                  <c:v>-9.3766200006939471E-2</c:v>
                </c:pt>
                <c:pt idx="42">
                  <c:v>-0.13263720000395551</c:v>
                </c:pt>
                <c:pt idx="44">
                  <c:v>-0.13413060000311816</c:v>
                </c:pt>
                <c:pt idx="52">
                  <c:v>-0.14776860000711167</c:v>
                </c:pt>
                <c:pt idx="53">
                  <c:v>-0.14468720000877511</c:v>
                </c:pt>
                <c:pt idx="57">
                  <c:v>-0.16244779989938252</c:v>
                </c:pt>
                <c:pt idx="58">
                  <c:v>-0.15098880000732606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85-470C-9419-E2A618F966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35">
                  <c:v>-0.10617260000435635</c:v>
                </c:pt>
                <c:pt idx="36">
                  <c:v>-0.12095800000679446</c:v>
                </c:pt>
                <c:pt idx="38">
                  <c:v>-0.12598960000468651</c:v>
                </c:pt>
                <c:pt idx="46">
                  <c:v>-0.13980799999990268</c:v>
                </c:pt>
                <c:pt idx="50">
                  <c:v>-0.14463240000623045</c:v>
                </c:pt>
                <c:pt idx="51">
                  <c:v>-0.14717580000433372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85-470C-9419-E2A618F966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59">
                  <c:v>-0.16569700000400189</c:v>
                </c:pt>
                <c:pt idx="60">
                  <c:v>-0.15815320000547217</c:v>
                </c:pt>
                <c:pt idx="61">
                  <c:v>-0.17626620000373805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85-470C-9419-E2A618F966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85-470C-9419-E2A618F966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85-470C-9419-E2A618F966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8">
                    <c:v>7.0000000000000001E-3</c:v>
                  </c:pt>
                  <c:pt idx="31">
                    <c:v>6.0000000000000001E-3</c:v>
                  </c:pt>
                  <c:pt idx="32">
                    <c:v>5.0000000000000001E-3</c:v>
                  </c:pt>
                  <c:pt idx="33">
                    <c:v>6.0000000000000001E-3</c:v>
                  </c:pt>
                  <c:pt idx="34">
                    <c:v>0.01</c:v>
                  </c:pt>
                  <c:pt idx="35">
                    <c:v>5.1000000000000004E-3</c:v>
                  </c:pt>
                  <c:pt idx="36">
                    <c:v>1.6999999999999999E-3</c:v>
                  </c:pt>
                  <c:pt idx="37">
                    <c:v>0</c:v>
                  </c:pt>
                  <c:pt idx="38">
                    <c:v>3.3E-3</c:v>
                  </c:pt>
                  <c:pt idx="39">
                    <c:v>2.9999999999999997E-4</c:v>
                  </c:pt>
                  <c:pt idx="40">
                    <c:v>1E-3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6.9999999999999999E-4</c:v>
                  </c:pt>
                  <c:pt idx="49">
                    <c:v>4.0000000000000002E-4</c:v>
                  </c:pt>
                  <c:pt idx="50">
                    <c:v>4.0000000000000001E-3</c:v>
                  </c:pt>
                  <c:pt idx="51">
                    <c:v>1.9000000000000001E-4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9.2999999999999992E-3</c:v>
                  </c:pt>
                  <c:pt idx="57">
                    <c:v>0</c:v>
                  </c:pt>
                  <c:pt idx="58">
                    <c:v>1.9E-3</c:v>
                  </c:pt>
                  <c:pt idx="59">
                    <c:v>1.9E-3</c:v>
                  </c:pt>
                  <c:pt idx="60">
                    <c:v>2.9999999999999997E-4</c:v>
                  </c:pt>
                  <c:pt idx="6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  <c:pt idx="37">
                  <c:v>-0.11941099999967264</c:v>
                </c:pt>
                <c:pt idx="39">
                  <c:v>-0.12511739999899874</c:v>
                </c:pt>
                <c:pt idx="40">
                  <c:v>-0.1257400000031339</c:v>
                </c:pt>
                <c:pt idx="41">
                  <c:v>-0.13247299999784445</c:v>
                </c:pt>
                <c:pt idx="47">
                  <c:v>-0.1417384000014863</c:v>
                </c:pt>
                <c:pt idx="48">
                  <c:v>-0.1412384000068414</c:v>
                </c:pt>
                <c:pt idx="49">
                  <c:v>-0.14043840000522323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85-470C-9419-E2A618F966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7.538708442498028E-2</c:v>
                </c:pt>
                <c:pt idx="1">
                  <c:v>5.8382899693027526E-2</c:v>
                </c:pt>
                <c:pt idx="2">
                  <c:v>4.6525175779743508E-2</c:v>
                </c:pt>
                <c:pt idx="3">
                  <c:v>3.5942475943156679E-2</c:v>
                </c:pt>
                <c:pt idx="4">
                  <c:v>2.9793382555085152E-2</c:v>
                </c:pt>
                <c:pt idx="5">
                  <c:v>2.8176420203273697E-2</c:v>
                </c:pt>
                <c:pt idx="6">
                  <c:v>2.471067294025129E-2</c:v>
                </c:pt>
                <c:pt idx="7">
                  <c:v>1.4000470695994749E-2</c:v>
                </c:pt>
                <c:pt idx="8">
                  <c:v>1.1575009052628808E-3</c:v>
                </c:pt>
                <c:pt idx="9">
                  <c:v>1.4907277187509171E-4</c:v>
                </c:pt>
                <c:pt idx="10">
                  <c:v>-2.3082463577595268E-3</c:v>
                </c:pt>
                <c:pt idx="11">
                  <c:v>-2.7518949692454303E-2</c:v>
                </c:pt>
                <c:pt idx="29">
                  <c:v>-6.8122670971275362E-2</c:v>
                </c:pt>
                <c:pt idx="30">
                  <c:v>-6.83776757866148E-2</c:v>
                </c:pt>
                <c:pt idx="31">
                  <c:v>-7.1518871466477923E-2</c:v>
                </c:pt>
                <c:pt idx="32">
                  <c:v>-7.1773876281817361E-2</c:v>
                </c:pt>
                <c:pt idx="33">
                  <c:v>-8.1858157615695273E-2</c:v>
                </c:pt>
                <c:pt idx="34">
                  <c:v>-9.2510404220101941E-2</c:v>
                </c:pt>
                <c:pt idx="35">
                  <c:v>-0.11110257348394122</c:v>
                </c:pt>
                <c:pt idx="36">
                  <c:v>-0.12175482008834788</c:v>
                </c:pt>
                <c:pt idx="37">
                  <c:v>-0.12239233212669648</c:v>
                </c:pt>
                <c:pt idx="38">
                  <c:v>-0.1255335278065596</c:v>
                </c:pt>
                <c:pt idx="39">
                  <c:v>-0.12591603502956877</c:v>
                </c:pt>
                <c:pt idx="40">
                  <c:v>-0.12894131942973214</c:v>
                </c:pt>
                <c:pt idx="41">
                  <c:v>-0.12899927506958203</c:v>
                </c:pt>
                <c:pt idx="42">
                  <c:v>-0.13232592879696473</c:v>
                </c:pt>
                <c:pt idx="43">
                  <c:v>-0.13255775135636422</c:v>
                </c:pt>
                <c:pt idx="44">
                  <c:v>-0.13579167605998713</c:v>
                </c:pt>
                <c:pt idx="45">
                  <c:v>-0.13613361433510138</c:v>
                </c:pt>
                <c:pt idx="46">
                  <c:v>-0.13624373005081614</c:v>
                </c:pt>
                <c:pt idx="47">
                  <c:v>-0.13965152167398867</c:v>
                </c:pt>
                <c:pt idx="48">
                  <c:v>-0.13965152167398867</c:v>
                </c:pt>
                <c:pt idx="49">
                  <c:v>-0.13965152167398867</c:v>
                </c:pt>
                <c:pt idx="50">
                  <c:v>-0.14011516679278768</c:v>
                </c:pt>
                <c:pt idx="51">
                  <c:v>-0.1424218012588126</c:v>
                </c:pt>
                <c:pt idx="52">
                  <c:v>-0.1465714250720635</c:v>
                </c:pt>
                <c:pt idx="53">
                  <c:v>-0.14681483875943299</c:v>
                </c:pt>
                <c:pt idx="54">
                  <c:v>-0.15380428892532769</c:v>
                </c:pt>
                <c:pt idx="55">
                  <c:v>-0.15409986268856202</c:v>
                </c:pt>
                <c:pt idx="56">
                  <c:v>-0.15420997840427678</c:v>
                </c:pt>
                <c:pt idx="57">
                  <c:v>-0.15714253378068035</c:v>
                </c:pt>
                <c:pt idx="58">
                  <c:v>-0.15754822325962947</c:v>
                </c:pt>
                <c:pt idx="59">
                  <c:v>-0.16133852210581118</c:v>
                </c:pt>
                <c:pt idx="60">
                  <c:v>-0.16431744199409465</c:v>
                </c:pt>
                <c:pt idx="61">
                  <c:v>-0.17944386399491152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85-470C-9419-E2A618F9663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-8878</c:v>
                </c:pt>
                <c:pt idx="1">
                  <c:v>-7411</c:v>
                </c:pt>
                <c:pt idx="2">
                  <c:v>-6388</c:v>
                </c:pt>
                <c:pt idx="3">
                  <c:v>-5475</c:v>
                </c:pt>
                <c:pt idx="4">
                  <c:v>-4944.5</c:v>
                </c:pt>
                <c:pt idx="5">
                  <c:v>-4805</c:v>
                </c:pt>
                <c:pt idx="6">
                  <c:v>-4506</c:v>
                </c:pt>
                <c:pt idx="7">
                  <c:v>-3582</c:v>
                </c:pt>
                <c:pt idx="8">
                  <c:v>-2474</c:v>
                </c:pt>
                <c:pt idx="9">
                  <c:v>-2387</c:v>
                </c:pt>
                <c:pt idx="10">
                  <c:v>-2175</c:v>
                </c:pt>
                <c:pt idx="11">
                  <c:v>0</c:v>
                </c:pt>
                <c:pt idx="12">
                  <c:v>0</c:v>
                </c:pt>
                <c:pt idx="13">
                  <c:v>2572</c:v>
                </c:pt>
                <c:pt idx="14">
                  <c:v>2595</c:v>
                </c:pt>
                <c:pt idx="15">
                  <c:v>2600</c:v>
                </c:pt>
                <c:pt idx="16">
                  <c:v>2845.5</c:v>
                </c:pt>
                <c:pt idx="17">
                  <c:v>2867.5</c:v>
                </c:pt>
                <c:pt idx="18">
                  <c:v>2877</c:v>
                </c:pt>
                <c:pt idx="19">
                  <c:v>2894</c:v>
                </c:pt>
                <c:pt idx="20">
                  <c:v>2899</c:v>
                </c:pt>
                <c:pt idx="21">
                  <c:v>2916</c:v>
                </c:pt>
                <c:pt idx="22">
                  <c:v>2916</c:v>
                </c:pt>
                <c:pt idx="23">
                  <c:v>3181</c:v>
                </c:pt>
                <c:pt idx="24">
                  <c:v>3187</c:v>
                </c:pt>
                <c:pt idx="25">
                  <c:v>3193</c:v>
                </c:pt>
                <c:pt idx="26">
                  <c:v>3198</c:v>
                </c:pt>
                <c:pt idx="27">
                  <c:v>3209</c:v>
                </c:pt>
                <c:pt idx="28">
                  <c:v>3470</c:v>
                </c:pt>
                <c:pt idx="29">
                  <c:v>3503</c:v>
                </c:pt>
                <c:pt idx="30">
                  <c:v>3525</c:v>
                </c:pt>
                <c:pt idx="31">
                  <c:v>3796</c:v>
                </c:pt>
                <c:pt idx="32">
                  <c:v>3818</c:v>
                </c:pt>
                <c:pt idx="33">
                  <c:v>4688</c:v>
                </c:pt>
                <c:pt idx="34">
                  <c:v>5607</c:v>
                </c:pt>
                <c:pt idx="35">
                  <c:v>7211</c:v>
                </c:pt>
                <c:pt idx="36">
                  <c:v>8130</c:v>
                </c:pt>
                <c:pt idx="37">
                  <c:v>8185</c:v>
                </c:pt>
                <c:pt idx="38">
                  <c:v>8456</c:v>
                </c:pt>
                <c:pt idx="39">
                  <c:v>8489</c:v>
                </c:pt>
                <c:pt idx="40">
                  <c:v>8750</c:v>
                </c:pt>
                <c:pt idx="41">
                  <c:v>8755</c:v>
                </c:pt>
                <c:pt idx="42">
                  <c:v>9042</c:v>
                </c:pt>
                <c:pt idx="43">
                  <c:v>9062</c:v>
                </c:pt>
                <c:pt idx="44">
                  <c:v>9341</c:v>
                </c:pt>
                <c:pt idx="45">
                  <c:v>9370.5</c:v>
                </c:pt>
                <c:pt idx="46">
                  <c:v>9380</c:v>
                </c:pt>
                <c:pt idx="47">
                  <c:v>9674</c:v>
                </c:pt>
                <c:pt idx="48">
                  <c:v>9674</c:v>
                </c:pt>
                <c:pt idx="49">
                  <c:v>9674</c:v>
                </c:pt>
                <c:pt idx="50">
                  <c:v>9714</c:v>
                </c:pt>
                <c:pt idx="51">
                  <c:v>9913</c:v>
                </c:pt>
                <c:pt idx="52">
                  <c:v>10271</c:v>
                </c:pt>
                <c:pt idx="53">
                  <c:v>10292</c:v>
                </c:pt>
                <c:pt idx="54">
                  <c:v>10895</c:v>
                </c:pt>
                <c:pt idx="55">
                  <c:v>10920.5</c:v>
                </c:pt>
                <c:pt idx="56">
                  <c:v>10930</c:v>
                </c:pt>
                <c:pt idx="57">
                  <c:v>11183</c:v>
                </c:pt>
                <c:pt idx="58">
                  <c:v>11218</c:v>
                </c:pt>
                <c:pt idx="59">
                  <c:v>11545</c:v>
                </c:pt>
                <c:pt idx="60">
                  <c:v>11802</c:v>
                </c:pt>
                <c:pt idx="61">
                  <c:v>13107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6">
                  <c:v>0.2422796999962884</c:v>
                </c:pt>
                <c:pt idx="17">
                  <c:v>0.21217449999676319</c:v>
                </c:pt>
                <c:pt idx="43">
                  <c:v>-0.11906920000910759</c:v>
                </c:pt>
                <c:pt idx="45">
                  <c:v>-0.10928530000091996</c:v>
                </c:pt>
                <c:pt idx="54">
                  <c:v>-7.2606999921845272E-2</c:v>
                </c:pt>
                <c:pt idx="55">
                  <c:v>-0.25331529990944546</c:v>
                </c:pt>
                <c:pt idx="56">
                  <c:v>-0.14433800000551855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85-470C-9419-E2A618F9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47672"/>
        <c:axId val="1"/>
      </c:scatterChart>
      <c:valAx>
        <c:axId val="60484767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92406439849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47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383177570093455E-2"/>
          <c:y val="0.9204921861831491"/>
          <c:w val="0.8831788783411418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19050</xdr:rowOff>
    </xdr:from>
    <xdr:to>
      <xdr:col>16</xdr:col>
      <xdr:colOff>571500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8239A09-AE38-8C48-EF69-9AAFD2ABC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628650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F4D1CB3-2B1F-C109-8516-58F557E82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0.pdf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solj.cetus-net.org/vsoljno51.pdf" TargetMode="External"/><Relationship Id="rId19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938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0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25" customFormat="1" ht="12.95" customHeight="1" x14ac:dyDescent="0.2">
      <c r="A2" s="25" t="s">
        <v>25</v>
      </c>
      <c r="B2" s="26" t="s">
        <v>50</v>
      </c>
    </row>
    <row r="3" spans="1:6" s="25" customFormat="1" ht="12.95" customHeight="1" thickBot="1" x14ac:dyDescent="0.25">
      <c r="C3" s="27" t="s">
        <v>44</v>
      </c>
    </row>
    <row r="4" spans="1:6" s="25" customFormat="1" ht="12.95" customHeight="1" thickTop="1" thickBot="1" x14ac:dyDescent="0.25">
      <c r="A4" s="28" t="s">
        <v>1</v>
      </c>
      <c r="C4" s="29">
        <v>44169.571000000004</v>
      </c>
      <c r="D4" s="30">
        <v>1.1806866</v>
      </c>
    </row>
    <row r="5" spans="1:6" s="25" customFormat="1" ht="12.95" customHeight="1" thickTop="1" x14ac:dyDescent="0.2">
      <c r="A5" s="31" t="s">
        <v>51</v>
      </c>
      <c r="C5" s="32">
        <v>-9.5</v>
      </c>
      <c r="D5" s="25" t="s">
        <v>52</v>
      </c>
    </row>
    <row r="6" spans="1:6" s="25" customFormat="1" ht="12.95" customHeight="1" x14ac:dyDescent="0.2">
      <c r="A6" s="28" t="s">
        <v>2</v>
      </c>
    </row>
    <row r="7" spans="1:6" s="25" customFormat="1" ht="12.95" customHeight="1" x14ac:dyDescent="0.2">
      <c r="A7" s="25" t="s">
        <v>3</v>
      </c>
      <c r="C7" s="25">
        <f>+C4</f>
        <v>44169.571000000004</v>
      </c>
    </row>
    <row r="8" spans="1:6" s="25" customFormat="1" ht="12.95" customHeight="1" x14ac:dyDescent="0.2">
      <c r="A8" s="25" t="s">
        <v>4</v>
      </c>
      <c r="C8" s="25">
        <f>+D4</f>
        <v>1.1806866</v>
      </c>
    </row>
    <row r="9" spans="1:6" s="25" customFormat="1" ht="12.95" customHeight="1" x14ac:dyDescent="0.2">
      <c r="A9" s="33" t="s">
        <v>57</v>
      </c>
      <c r="B9" s="34">
        <v>56</v>
      </c>
      <c r="C9" s="35" t="str">
        <f>"F"&amp;B9</f>
        <v>F56</v>
      </c>
      <c r="D9" s="36" t="str">
        <f>"G"&amp;B9</f>
        <v>G56</v>
      </c>
    </row>
    <row r="10" spans="1:6" s="25" customFormat="1" ht="12.95" customHeight="1" thickBot="1" x14ac:dyDescent="0.25">
      <c r="C10" s="37" t="s">
        <v>21</v>
      </c>
      <c r="D10" s="37" t="s">
        <v>22</v>
      </c>
    </row>
    <row r="11" spans="1:6" s="25" customFormat="1" ht="12.95" customHeight="1" x14ac:dyDescent="0.2">
      <c r="A11" s="25" t="s">
        <v>17</v>
      </c>
      <c r="C11" s="36">
        <f ca="1">INTERCEPT(INDIRECT($D$9):G985,INDIRECT($C$9):F985)</f>
        <v>-2.7518949692454303E-2</v>
      </c>
      <c r="D11" s="38"/>
    </row>
    <row r="12" spans="1:6" s="25" customFormat="1" ht="12.95" customHeight="1" x14ac:dyDescent="0.2">
      <c r="A12" s="25" t="s">
        <v>18</v>
      </c>
      <c r="C12" s="36">
        <f ca="1">SLOPE(INDIRECT($D$9):G985,INDIRECT($C$9):F985)</f>
        <v>-1.159112796997461E-5</v>
      </c>
      <c r="D12" s="38"/>
    </row>
    <row r="13" spans="1:6" s="25" customFormat="1" ht="12.95" customHeight="1" x14ac:dyDescent="0.2">
      <c r="A13" s="25" t="s">
        <v>20</v>
      </c>
      <c r="C13" s="38" t="s">
        <v>15</v>
      </c>
    </row>
    <row r="14" spans="1:6" s="25" customFormat="1" ht="12.95" customHeight="1" x14ac:dyDescent="0.2"/>
    <row r="15" spans="1:6" s="25" customFormat="1" ht="12.95" customHeight="1" x14ac:dyDescent="0.2">
      <c r="A15" s="39" t="s">
        <v>19</v>
      </c>
      <c r="C15" s="40">
        <f ca="1">(C7+C11)+(C8+C12)*INT(MAX(F21:F3526))</f>
        <v>59644.650822336014</v>
      </c>
      <c r="E15" s="41" t="s">
        <v>61</v>
      </c>
      <c r="F15" s="32">
        <v>1</v>
      </c>
    </row>
    <row r="16" spans="1:6" s="25" customFormat="1" ht="12.95" customHeight="1" x14ac:dyDescent="0.2">
      <c r="A16" s="28" t="s">
        <v>5</v>
      </c>
      <c r="C16" s="42">
        <f ca="1">+C8+C12</f>
        <v>1.1806750088720301</v>
      </c>
      <c r="E16" s="41" t="s">
        <v>53</v>
      </c>
      <c r="F16" s="43">
        <f ca="1">NOW()+15018.5+$C$5/24</f>
        <v>60210.547137268513</v>
      </c>
    </row>
    <row r="17" spans="1:21" s="25" customFormat="1" ht="12.95" customHeight="1" thickBot="1" x14ac:dyDescent="0.25">
      <c r="A17" s="41" t="s">
        <v>47</v>
      </c>
      <c r="C17" s="25">
        <f>COUNT(C21:C2184)</f>
        <v>62</v>
      </c>
      <c r="E17" s="41" t="s">
        <v>62</v>
      </c>
      <c r="F17" s="43">
        <f ca="1">ROUND(2*(F16-$C$7)/$C$8,0)/2+F15</f>
        <v>13587</v>
      </c>
    </row>
    <row r="18" spans="1:21" s="25" customFormat="1" ht="12.95" customHeight="1" thickTop="1" thickBot="1" x14ac:dyDescent="0.25">
      <c r="A18" s="28" t="s">
        <v>6</v>
      </c>
      <c r="C18" s="29">
        <f ca="1">+C15</f>
        <v>59644.650822336014</v>
      </c>
      <c r="D18" s="30">
        <f ca="1">+C16</f>
        <v>1.1806750088720301</v>
      </c>
      <c r="E18" s="41" t="s">
        <v>54</v>
      </c>
      <c r="F18" s="36">
        <f ca="1">ROUND(2*(F16-$C$15)/$C$16,0)/2+F15</f>
        <v>480.5</v>
      </c>
    </row>
    <row r="19" spans="1:21" s="25" customFormat="1" ht="12.95" customHeight="1" thickTop="1" x14ac:dyDescent="0.2">
      <c r="E19" s="41" t="s">
        <v>55</v>
      </c>
      <c r="F19" s="44">
        <f ca="1">+$C$15+$C$16*F18-15018.5-$C$5/24</f>
        <v>45193.860997432363</v>
      </c>
    </row>
    <row r="20" spans="1:21" s="25" customFormat="1" ht="12.95" customHeight="1" thickBot="1" x14ac:dyDescent="0.25">
      <c r="A20" s="37" t="s">
        <v>7</v>
      </c>
      <c r="B20" s="37" t="s">
        <v>8</v>
      </c>
      <c r="C20" s="37" t="s">
        <v>9</v>
      </c>
      <c r="D20" s="37" t="s">
        <v>14</v>
      </c>
      <c r="E20" s="37" t="s">
        <v>10</v>
      </c>
      <c r="F20" s="37" t="s">
        <v>11</v>
      </c>
      <c r="G20" s="37" t="s">
        <v>12</v>
      </c>
      <c r="H20" s="45" t="s">
        <v>77</v>
      </c>
      <c r="I20" s="45" t="s">
        <v>80</v>
      </c>
      <c r="J20" s="45" t="s">
        <v>74</v>
      </c>
      <c r="K20" s="45" t="s">
        <v>72</v>
      </c>
      <c r="L20" s="45" t="s">
        <v>26</v>
      </c>
      <c r="M20" s="45" t="s">
        <v>27</v>
      </c>
      <c r="N20" s="45" t="s">
        <v>28</v>
      </c>
      <c r="O20" s="45" t="s">
        <v>24</v>
      </c>
      <c r="P20" s="46" t="s">
        <v>23</v>
      </c>
      <c r="Q20" s="37" t="s">
        <v>16</v>
      </c>
      <c r="U20" s="47" t="s">
        <v>293</v>
      </c>
    </row>
    <row r="21" spans="1:21" s="25" customFormat="1" ht="12.95" customHeight="1" x14ac:dyDescent="0.2">
      <c r="A21" s="48" t="s">
        <v>86</v>
      </c>
      <c r="B21" s="49" t="s">
        <v>45</v>
      </c>
      <c r="C21" s="50">
        <v>33687.430999999997</v>
      </c>
      <c r="D21" s="50" t="s">
        <v>80</v>
      </c>
      <c r="E21" s="51">
        <f t="shared" ref="E21:E52" si="0">+(C21-C$7)/C$8</f>
        <v>-8878.0036971707868</v>
      </c>
      <c r="F21" s="25">
        <f t="shared" ref="F21:F52" si="1">ROUND(2*E21,0)/2</f>
        <v>-8878</v>
      </c>
      <c r="G21" s="25">
        <f t="shared" ref="G21:G36" si="2">+C21-(C$7+F21*C$8)</f>
        <v>-4.3652000022120774E-3</v>
      </c>
      <c r="I21" s="25">
        <f t="shared" ref="I21:I32" si="3">+G21</f>
        <v>-4.3652000022120774E-3</v>
      </c>
      <c r="O21" s="25">
        <f t="shared" ref="O21:O32" ca="1" si="4">+C$11+C$12*F21</f>
        <v>7.538708442498028E-2</v>
      </c>
      <c r="Q21" s="52">
        <f t="shared" ref="Q21:Q52" si="5">+C21-15018.5</f>
        <v>18668.930999999997</v>
      </c>
    </row>
    <row r="22" spans="1:21" s="25" customFormat="1" ht="12.95" customHeight="1" x14ac:dyDescent="0.2">
      <c r="A22" s="48" t="s">
        <v>86</v>
      </c>
      <c r="B22" s="49" t="s">
        <v>292</v>
      </c>
      <c r="C22" s="50">
        <v>35419.502999999997</v>
      </c>
      <c r="D22" s="50" t="s">
        <v>80</v>
      </c>
      <c r="E22" s="51">
        <f t="shared" si="0"/>
        <v>-7410.9996674816211</v>
      </c>
      <c r="F22" s="25">
        <f t="shared" si="1"/>
        <v>-7411</v>
      </c>
      <c r="G22" s="25">
        <f t="shared" si="2"/>
        <v>3.9259999175556004E-4</v>
      </c>
      <c r="I22" s="25">
        <f t="shared" si="3"/>
        <v>3.9259999175556004E-4</v>
      </c>
      <c r="O22" s="25">
        <f t="shared" ca="1" si="4"/>
        <v>5.8382899693027526E-2</v>
      </c>
      <c r="Q22" s="52">
        <f t="shared" si="5"/>
        <v>20401.002999999997</v>
      </c>
    </row>
    <row r="23" spans="1:21" s="25" customFormat="1" ht="12.95" customHeight="1" x14ac:dyDescent="0.2">
      <c r="A23" s="48" t="s">
        <v>86</v>
      </c>
      <c r="B23" s="49" t="s">
        <v>45</v>
      </c>
      <c r="C23" s="50">
        <v>36627.337</v>
      </c>
      <c r="D23" s="50" t="s">
        <v>80</v>
      </c>
      <c r="E23" s="51">
        <f t="shared" si="0"/>
        <v>-6388.0067750408989</v>
      </c>
      <c r="F23" s="25">
        <f t="shared" si="1"/>
        <v>-6388</v>
      </c>
      <c r="G23" s="25">
        <f t="shared" si="2"/>
        <v>-7.9992000028141774E-3</v>
      </c>
      <c r="I23" s="25">
        <f t="shared" si="3"/>
        <v>-7.9992000028141774E-3</v>
      </c>
      <c r="O23" s="25">
        <f t="shared" ca="1" si="4"/>
        <v>4.6525175779743508E-2</v>
      </c>
      <c r="Q23" s="52">
        <f t="shared" si="5"/>
        <v>21608.837</v>
      </c>
    </row>
    <row r="24" spans="1:21" s="25" customFormat="1" ht="12.95" customHeight="1" x14ac:dyDescent="0.2">
      <c r="A24" s="48" t="s">
        <v>86</v>
      </c>
      <c r="B24" s="49" t="s">
        <v>292</v>
      </c>
      <c r="C24" s="50">
        <v>37705.313000000002</v>
      </c>
      <c r="D24" s="50" t="s">
        <v>80</v>
      </c>
      <c r="E24" s="51">
        <f t="shared" si="0"/>
        <v>-5474.9990386949439</v>
      </c>
      <c r="F24" s="25">
        <f t="shared" si="1"/>
        <v>-5475</v>
      </c>
      <c r="G24" s="25">
        <f t="shared" si="2"/>
        <v>1.1349999986123294E-3</v>
      </c>
      <c r="I24" s="25">
        <f t="shared" si="3"/>
        <v>1.1349999986123294E-3</v>
      </c>
      <c r="O24" s="25">
        <f t="shared" ca="1" si="4"/>
        <v>3.5942475943156679E-2</v>
      </c>
      <c r="Q24" s="52">
        <f t="shared" si="5"/>
        <v>22686.813000000002</v>
      </c>
    </row>
    <row r="25" spans="1:21" s="25" customFormat="1" ht="12.95" customHeight="1" x14ac:dyDescent="0.2">
      <c r="A25" s="48" t="s">
        <v>86</v>
      </c>
      <c r="B25" s="49" t="s">
        <v>45</v>
      </c>
      <c r="C25" s="50">
        <v>38331.633999999998</v>
      </c>
      <c r="D25" s="50" t="s">
        <v>80</v>
      </c>
      <c r="E25" s="51">
        <f t="shared" si="0"/>
        <v>-4944.5271929062337</v>
      </c>
      <c r="F25" s="25">
        <f t="shared" si="1"/>
        <v>-4944.5</v>
      </c>
      <c r="G25" s="25">
        <f t="shared" si="2"/>
        <v>-3.2106300008308608E-2</v>
      </c>
      <c r="I25" s="25">
        <f t="shared" si="3"/>
        <v>-3.2106300008308608E-2</v>
      </c>
      <c r="O25" s="25">
        <f t="shared" ca="1" si="4"/>
        <v>2.9793382555085152E-2</v>
      </c>
      <c r="Q25" s="52">
        <f t="shared" si="5"/>
        <v>23313.133999999998</v>
      </c>
    </row>
    <row r="26" spans="1:21" s="25" customFormat="1" ht="12.95" customHeight="1" x14ac:dyDescent="0.2">
      <c r="A26" s="48" t="s">
        <v>86</v>
      </c>
      <c r="B26" s="49" t="s">
        <v>292</v>
      </c>
      <c r="C26" s="50">
        <v>38496.372000000003</v>
      </c>
      <c r="D26" s="50" t="s">
        <v>80</v>
      </c>
      <c r="E26" s="51">
        <f t="shared" si="0"/>
        <v>-4804.9999042929767</v>
      </c>
      <c r="F26" s="25">
        <f t="shared" si="1"/>
        <v>-4805</v>
      </c>
      <c r="G26" s="25">
        <f t="shared" si="2"/>
        <v>1.1300000187475234E-4</v>
      </c>
      <c r="I26" s="25">
        <f t="shared" si="3"/>
        <v>1.1300000187475234E-4</v>
      </c>
      <c r="O26" s="25">
        <f t="shared" ca="1" si="4"/>
        <v>2.8176420203273697E-2</v>
      </c>
      <c r="Q26" s="52">
        <f t="shared" si="5"/>
        <v>23477.872000000003</v>
      </c>
    </row>
    <row r="27" spans="1:21" s="25" customFormat="1" ht="12.95" customHeight="1" x14ac:dyDescent="0.2">
      <c r="A27" s="48" t="s">
        <v>86</v>
      </c>
      <c r="B27" s="49" t="s">
        <v>45</v>
      </c>
      <c r="C27" s="50">
        <v>38849.406999999999</v>
      </c>
      <c r="D27" s="50" t="s">
        <v>80</v>
      </c>
      <c r="E27" s="51">
        <f t="shared" si="0"/>
        <v>-4505.9916831443707</v>
      </c>
      <c r="F27" s="25">
        <f t="shared" si="1"/>
        <v>-4506</v>
      </c>
      <c r="G27" s="25">
        <f t="shared" si="2"/>
        <v>9.8195999962626956E-3</v>
      </c>
      <c r="I27" s="25">
        <f t="shared" si="3"/>
        <v>9.8195999962626956E-3</v>
      </c>
      <c r="O27" s="25">
        <f t="shared" ca="1" si="4"/>
        <v>2.471067294025129E-2</v>
      </c>
      <c r="Q27" s="52">
        <f t="shared" si="5"/>
        <v>23830.906999999999</v>
      </c>
    </row>
    <row r="28" spans="1:21" s="25" customFormat="1" ht="12.95" customHeight="1" x14ac:dyDescent="0.2">
      <c r="A28" s="48" t="s">
        <v>86</v>
      </c>
      <c r="B28" s="49" t="s">
        <v>45</v>
      </c>
      <c r="C28" s="50">
        <v>39940.355000000003</v>
      </c>
      <c r="D28" s="50" t="s">
        <v>80</v>
      </c>
      <c r="E28" s="51">
        <f t="shared" si="0"/>
        <v>-3581.9971193032939</v>
      </c>
      <c r="F28" s="25">
        <f t="shared" si="1"/>
        <v>-3582</v>
      </c>
      <c r="G28" s="25">
        <f t="shared" si="2"/>
        <v>3.4012000032817014E-3</v>
      </c>
      <c r="I28" s="25">
        <f t="shared" si="3"/>
        <v>3.4012000032817014E-3</v>
      </c>
      <c r="O28" s="25">
        <f t="shared" ca="1" si="4"/>
        <v>1.4000470695994749E-2</v>
      </c>
      <c r="Q28" s="52">
        <f t="shared" si="5"/>
        <v>24921.855000000003</v>
      </c>
    </row>
    <row r="29" spans="1:21" s="25" customFormat="1" ht="12.95" customHeight="1" x14ac:dyDescent="0.2">
      <c r="A29" s="48" t="s">
        <v>86</v>
      </c>
      <c r="B29" s="49" t="s">
        <v>45</v>
      </c>
      <c r="C29" s="50">
        <v>41248.557999999997</v>
      </c>
      <c r="D29" s="50" t="s">
        <v>80</v>
      </c>
      <c r="E29" s="51">
        <f t="shared" si="0"/>
        <v>-2473.9952160039811</v>
      </c>
      <c r="F29" s="25">
        <f t="shared" si="1"/>
        <v>-2474</v>
      </c>
      <c r="G29" s="25">
        <f t="shared" si="2"/>
        <v>5.6483999942429364E-3</v>
      </c>
      <c r="I29" s="25">
        <f t="shared" si="3"/>
        <v>5.6483999942429364E-3</v>
      </c>
      <c r="O29" s="25">
        <f t="shared" ca="1" si="4"/>
        <v>1.1575009052628808E-3</v>
      </c>
      <c r="Q29" s="52">
        <f t="shared" si="5"/>
        <v>26230.057999999997</v>
      </c>
    </row>
    <row r="30" spans="1:21" s="25" customFormat="1" ht="12.95" customHeight="1" x14ac:dyDescent="0.2">
      <c r="A30" s="48" t="s">
        <v>86</v>
      </c>
      <c r="B30" s="49" t="s">
        <v>292</v>
      </c>
      <c r="C30" s="50">
        <v>41351.275000000001</v>
      </c>
      <c r="D30" s="50" t="s">
        <v>80</v>
      </c>
      <c r="E30" s="51">
        <f t="shared" si="0"/>
        <v>-2386.9975317751569</v>
      </c>
      <c r="F30" s="25">
        <f t="shared" si="1"/>
        <v>-2387</v>
      </c>
      <c r="G30" s="25">
        <f t="shared" si="2"/>
        <v>2.9141999984858558E-3</v>
      </c>
      <c r="I30" s="25">
        <f t="shared" si="3"/>
        <v>2.9141999984858558E-3</v>
      </c>
      <c r="O30" s="25">
        <f t="shared" ca="1" si="4"/>
        <v>1.4907277187509171E-4</v>
      </c>
      <c r="Q30" s="52">
        <f t="shared" si="5"/>
        <v>26332.775000000001</v>
      </c>
    </row>
    <row r="31" spans="1:21" s="25" customFormat="1" ht="12.95" customHeight="1" x14ac:dyDescent="0.2">
      <c r="A31" s="48" t="s">
        <v>86</v>
      </c>
      <c r="B31" s="49" t="s">
        <v>292</v>
      </c>
      <c r="C31" s="50">
        <v>41601.563000000002</v>
      </c>
      <c r="D31" s="50" t="s">
        <v>80</v>
      </c>
      <c r="E31" s="51">
        <f t="shared" si="0"/>
        <v>-2175.0124037996211</v>
      </c>
      <c r="F31" s="25">
        <f t="shared" si="1"/>
        <v>-2175</v>
      </c>
      <c r="G31" s="25">
        <f t="shared" si="2"/>
        <v>-1.4645000002929009E-2</v>
      </c>
      <c r="I31" s="25">
        <f t="shared" si="3"/>
        <v>-1.4645000002929009E-2</v>
      </c>
      <c r="O31" s="25">
        <f t="shared" ca="1" si="4"/>
        <v>-2.3082463577595268E-3</v>
      </c>
      <c r="Q31" s="52">
        <f t="shared" si="5"/>
        <v>26583.063000000002</v>
      </c>
    </row>
    <row r="32" spans="1:21" s="25" customFormat="1" ht="12.95" customHeight="1" x14ac:dyDescent="0.2">
      <c r="A32" s="48" t="s">
        <v>86</v>
      </c>
      <c r="B32" s="49" t="s">
        <v>45</v>
      </c>
      <c r="C32" s="50">
        <v>44169.567000000003</v>
      </c>
      <c r="D32" s="50" t="s">
        <v>80</v>
      </c>
      <c r="E32" s="51">
        <f t="shared" si="0"/>
        <v>-3.3878592344614628E-3</v>
      </c>
      <c r="F32" s="25">
        <f t="shared" si="1"/>
        <v>0</v>
      </c>
      <c r="G32" s="25">
        <f t="shared" si="2"/>
        <v>-4.0000000008149073E-3</v>
      </c>
      <c r="I32" s="25">
        <f t="shared" si="3"/>
        <v>-4.0000000008149073E-3</v>
      </c>
      <c r="O32" s="25">
        <f t="shared" ca="1" si="4"/>
        <v>-2.7518949692454303E-2</v>
      </c>
      <c r="Q32" s="52">
        <f t="shared" si="5"/>
        <v>29151.067000000003</v>
      </c>
    </row>
    <row r="33" spans="1:32" s="25" customFormat="1" ht="12.95" customHeight="1" x14ac:dyDescent="0.2">
      <c r="A33" s="25" t="s">
        <v>13</v>
      </c>
      <c r="C33" s="53">
        <v>44169.571000000004</v>
      </c>
      <c r="D33" s="53" t="s">
        <v>15</v>
      </c>
      <c r="E33" s="25">
        <f t="shared" si="0"/>
        <v>0</v>
      </c>
      <c r="F33" s="25">
        <f t="shared" si="1"/>
        <v>0</v>
      </c>
      <c r="G33" s="25">
        <f t="shared" si="2"/>
        <v>0</v>
      </c>
      <c r="H33" s="25">
        <f>+G33</f>
        <v>0</v>
      </c>
      <c r="Q33" s="52">
        <f t="shared" si="5"/>
        <v>29151.071000000004</v>
      </c>
    </row>
    <row r="34" spans="1:32" s="25" customFormat="1" ht="12.95" customHeight="1" x14ac:dyDescent="0.2">
      <c r="A34" s="25" t="s">
        <v>30</v>
      </c>
      <c r="C34" s="53">
        <v>47206.309000000001</v>
      </c>
      <c r="D34" s="53"/>
      <c r="E34" s="25">
        <f t="shared" si="0"/>
        <v>2572.0102184610187</v>
      </c>
      <c r="F34" s="25">
        <f t="shared" si="1"/>
        <v>2572</v>
      </c>
      <c r="G34" s="25">
        <f t="shared" si="2"/>
        <v>1.2064799993822817E-2</v>
      </c>
      <c r="I34" s="25">
        <f>+G34</f>
        <v>1.2064799993822817E-2</v>
      </c>
      <c r="Q34" s="52">
        <f t="shared" si="5"/>
        <v>32187.809000000001</v>
      </c>
      <c r="AB34" s="25">
        <v>6</v>
      </c>
      <c r="AD34" s="25" t="s">
        <v>29</v>
      </c>
      <c r="AF34" s="25" t="s">
        <v>31</v>
      </c>
    </row>
    <row r="35" spans="1:32" s="25" customFormat="1" ht="12.95" customHeight="1" x14ac:dyDescent="0.2">
      <c r="A35" s="25" t="s">
        <v>33</v>
      </c>
      <c r="C35" s="53">
        <v>47233.430999999997</v>
      </c>
      <c r="D35" s="53"/>
      <c r="E35" s="25">
        <f t="shared" si="0"/>
        <v>2594.9815979956011</v>
      </c>
      <c r="F35" s="25">
        <f t="shared" si="1"/>
        <v>2595</v>
      </c>
      <c r="G35" s="25">
        <f t="shared" si="2"/>
        <v>-2.1727000006649178E-2</v>
      </c>
      <c r="I35" s="25">
        <f>+G35</f>
        <v>-2.1727000006649178E-2</v>
      </c>
      <c r="Q35" s="52">
        <f t="shared" si="5"/>
        <v>32214.930999999997</v>
      </c>
      <c r="AA35" s="25" t="s">
        <v>32</v>
      </c>
      <c r="AB35" s="25">
        <v>7</v>
      </c>
      <c r="AD35" s="25" t="s">
        <v>29</v>
      </c>
      <c r="AF35" s="25" t="s">
        <v>31</v>
      </c>
    </row>
    <row r="36" spans="1:32" s="25" customFormat="1" ht="12.95" customHeight="1" x14ac:dyDescent="0.2">
      <c r="A36" s="25" t="s">
        <v>33</v>
      </c>
      <c r="C36" s="53">
        <v>47239.328999999998</v>
      </c>
      <c r="D36" s="53"/>
      <c r="E36" s="25">
        <f t="shared" si="0"/>
        <v>2599.9769964357979</v>
      </c>
      <c r="F36" s="25">
        <f t="shared" si="1"/>
        <v>2600</v>
      </c>
      <c r="G36" s="25">
        <f t="shared" si="2"/>
        <v>-2.7160000005096663E-2</v>
      </c>
      <c r="I36" s="25">
        <f>+G36</f>
        <v>-2.7160000005096663E-2</v>
      </c>
      <c r="Q36" s="52">
        <f t="shared" si="5"/>
        <v>32220.828999999998</v>
      </c>
      <c r="AA36" s="25" t="s">
        <v>32</v>
      </c>
      <c r="AB36" s="25">
        <v>8</v>
      </c>
      <c r="AD36" s="25" t="s">
        <v>29</v>
      </c>
      <c r="AF36" s="25" t="s">
        <v>31</v>
      </c>
    </row>
    <row r="37" spans="1:32" s="25" customFormat="1" ht="12.95" customHeight="1" x14ac:dyDescent="0.2">
      <c r="A37" s="25" t="s">
        <v>34</v>
      </c>
      <c r="C37" s="53">
        <v>47529.457000000002</v>
      </c>
      <c r="D37" s="53"/>
      <c r="E37" s="25">
        <f t="shared" si="0"/>
        <v>2845.7052023796987</v>
      </c>
      <c r="F37" s="25">
        <f t="shared" si="1"/>
        <v>2845.5</v>
      </c>
      <c r="Q37" s="52">
        <f t="shared" si="5"/>
        <v>32510.957000000002</v>
      </c>
      <c r="U37" s="36">
        <v>0.2422796999962884</v>
      </c>
      <c r="AA37" s="25" t="s">
        <v>32</v>
      </c>
      <c r="AB37" s="25">
        <v>8</v>
      </c>
      <c r="AD37" s="25" t="s">
        <v>29</v>
      </c>
      <c r="AF37" s="25" t="s">
        <v>31</v>
      </c>
    </row>
    <row r="38" spans="1:32" s="25" customFormat="1" ht="12.95" customHeight="1" x14ac:dyDescent="0.2">
      <c r="A38" s="25" t="s">
        <v>34</v>
      </c>
      <c r="C38" s="53">
        <v>47555.402000000002</v>
      </c>
      <c r="D38" s="53"/>
      <c r="E38" s="25">
        <f t="shared" si="0"/>
        <v>2867.6797043347474</v>
      </c>
      <c r="F38" s="25">
        <f t="shared" si="1"/>
        <v>2867.5</v>
      </c>
      <c r="Q38" s="52">
        <f t="shared" si="5"/>
        <v>32536.902000000002</v>
      </c>
      <c r="U38" s="36">
        <v>0.21217449999676319</v>
      </c>
      <c r="AA38" s="25" t="s">
        <v>32</v>
      </c>
      <c r="AB38" s="25">
        <v>8</v>
      </c>
      <c r="AD38" s="25" t="s">
        <v>29</v>
      </c>
      <c r="AF38" s="25" t="s">
        <v>31</v>
      </c>
    </row>
    <row r="39" spans="1:32" s="25" customFormat="1" ht="12.95" customHeight="1" x14ac:dyDescent="0.2">
      <c r="A39" s="25" t="s">
        <v>34</v>
      </c>
      <c r="C39" s="53">
        <v>47566.345999999998</v>
      </c>
      <c r="D39" s="53"/>
      <c r="E39" s="25">
        <f t="shared" si="0"/>
        <v>2876.9488871983422</v>
      </c>
      <c r="F39" s="25">
        <f t="shared" si="1"/>
        <v>2877</v>
      </c>
      <c r="G39" s="25">
        <f t="shared" ref="G39:G57" si="6">+C39-(C$7+F39*C$8)</f>
        <v>-6.0348200007865671E-2</v>
      </c>
      <c r="I39" s="25">
        <f t="shared" ref="I39:I55" si="7">+G39</f>
        <v>-6.0348200007865671E-2</v>
      </c>
      <c r="Q39" s="52">
        <f t="shared" si="5"/>
        <v>32547.845999999998</v>
      </c>
      <c r="AA39" s="25" t="s">
        <v>32</v>
      </c>
      <c r="AB39" s="25">
        <v>8</v>
      </c>
      <c r="AD39" s="25" t="s">
        <v>29</v>
      </c>
      <c r="AF39" s="25" t="s">
        <v>31</v>
      </c>
    </row>
    <row r="40" spans="1:32" s="25" customFormat="1" ht="12.95" customHeight="1" x14ac:dyDescent="0.2">
      <c r="A40" s="25" t="s">
        <v>34</v>
      </c>
      <c r="C40" s="53">
        <v>47586.392</v>
      </c>
      <c r="D40" s="53"/>
      <c r="E40" s="25">
        <f t="shared" si="0"/>
        <v>2893.9271437483885</v>
      </c>
      <c r="F40" s="25">
        <f t="shared" si="1"/>
        <v>2894</v>
      </c>
      <c r="G40" s="25">
        <f t="shared" si="6"/>
        <v>-8.6020400005509146E-2</v>
      </c>
      <c r="I40" s="25">
        <f t="shared" si="7"/>
        <v>-8.6020400005509146E-2</v>
      </c>
      <c r="Q40" s="52">
        <f t="shared" si="5"/>
        <v>32567.892</v>
      </c>
      <c r="AA40" s="25" t="s">
        <v>32</v>
      </c>
      <c r="AB40" s="25">
        <v>12</v>
      </c>
      <c r="AD40" s="25" t="s">
        <v>29</v>
      </c>
      <c r="AF40" s="25" t="s">
        <v>31</v>
      </c>
    </row>
    <row r="41" spans="1:32" s="25" customFormat="1" ht="12.95" customHeight="1" x14ac:dyDescent="0.2">
      <c r="A41" s="25" t="s">
        <v>34</v>
      </c>
      <c r="C41" s="53">
        <v>47592.296000000002</v>
      </c>
      <c r="D41" s="53"/>
      <c r="E41" s="25">
        <f t="shared" si="0"/>
        <v>2898.9276239774367</v>
      </c>
      <c r="F41" s="25">
        <f t="shared" si="1"/>
        <v>2899</v>
      </c>
      <c r="G41" s="25">
        <f t="shared" si="6"/>
        <v>-8.545340000273427E-2</v>
      </c>
      <c r="I41" s="25">
        <f t="shared" si="7"/>
        <v>-8.545340000273427E-2</v>
      </c>
      <c r="Q41" s="52">
        <f t="shared" si="5"/>
        <v>32573.796000000002</v>
      </c>
      <c r="AA41" s="25" t="s">
        <v>32</v>
      </c>
      <c r="AB41" s="25">
        <v>9</v>
      </c>
      <c r="AD41" s="25" t="s">
        <v>29</v>
      </c>
      <c r="AF41" s="25" t="s">
        <v>31</v>
      </c>
    </row>
    <row r="42" spans="1:32" s="25" customFormat="1" ht="12.95" customHeight="1" x14ac:dyDescent="0.2">
      <c r="A42" s="25" t="s">
        <v>34</v>
      </c>
      <c r="C42" s="53">
        <v>47612.351000000002</v>
      </c>
      <c r="D42" s="53"/>
      <c r="E42" s="25">
        <f t="shared" si="0"/>
        <v>2915.9135032107579</v>
      </c>
      <c r="F42" s="25">
        <f t="shared" si="1"/>
        <v>2916</v>
      </c>
      <c r="G42" s="25">
        <f t="shared" si="6"/>
        <v>-0.10212560000218218</v>
      </c>
      <c r="I42" s="25">
        <f t="shared" si="7"/>
        <v>-0.10212560000218218</v>
      </c>
      <c r="Q42" s="52">
        <f t="shared" si="5"/>
        <v>32593.851000000002</v>
      </c>
      <c r="AA42" s="25" t="s">
        <v>32</v>
      </c>
      <c r="AB42" s="25">
        <v>9</v>
      </c>
      <c r="AD42" s="25" t="s">
        <v>29</v>
      </c>
      <c r="AF42" s="25" t="s">
        <v>31</v>
      </c>
    </row>
    <row r="43" spans="1:32" s="25" customFormat="1" ht="12.95" customHeight="1" x14ac:dyDescent="0.2">
      <c r="A43" s="25" t="s">
        <v>34</v>
      </c>
      <c r="C43" s="53">
        <v>47612.39</v>
      </c>
      <c r="D43" s="53"/>
      <c r="E43" s="25">
        <f t="shared" si="0"/>
        <v>2915.9465348382846</v>
      </c>
      <c r="F43" s="25">
        <f t="shared" si="1"/>
        <v>2916</v>
      </c>
      <c r="G43" s="25">
        <f t="shared" si="6"/>
        <v>-6.3125600005150773E-2</v>
      </c>
      <c r="I43" s="25">
        <f t="shared" si="7"/>
        <v>-6.3125600005150773E-2</v>
      </c>
      <c r="Q43" s="52">
        <f t="shared" si="5"/>
        <v>32593.89</v>
      </c>
      <c r="AA43" s="25" t="s">
        <v>32</v>
      </c>
      <c r="AB43" s="25">
        <v>16</v>
      </c>
      <c r="AD43" s="25" t="s">
        <v>35</v>
      </c>
      <c r="AF43" s="25" t="s">
        <v>31</v>
      </c>
    </row>
    <row r="44" spans="1:32" s="25" customFormat="1" ht="12.95" customHeight="1" x14ac:dyDescent="0.2">
      <c r="A44" s="25" t="s">
        <v>36</v>
      </c>
      <c r="C44" s="53">
        <v>47925.285000000003</v>
      </c>
      <c r="D44" s="53"/>
      <c r="E44" s="25">
        <f t="shared" si="0"/>
        <v>3180.9575885760032</v>
      </c>
      <c r="F44" s="25">
        <f t="shared" si="1"/>
        <v>3181</v>
      </c>
      <c r="G44" s="25">
        <f t="shared" si="6"/>
        <v>-5.0074600003426895E-2</v>
      </c>
      <c r="I44" s="25">
        <f t="shared" si="7"/>
        <v>-5.0074600003426895E-2</v>
      </c>
      <c r="Q44" s="52">
        <f t="shared" si="5"/>
        <v>32906.785000000003</v>
      </c>
      <c r="AA44" s="25" t="s">
        <v>32</v>
      </c>
      <c r="AB44" s="25">
        <v>8</v>
      </c>
      <c r="AD44" s="25" t="s">
        <v>29</v>
      </c>
      <c r="AF44" s="25" t="s">
        <v>31</v>
      </c>
    </row>
    <row r="45" spans="1:32" s="25" customFormat="1" ht="12.95" customHeight="1" x14ac:dyDescent="0.2">
      <c r="A45" s="25" t="s">
        <v>36</v>
      </c>
      <c r="C45" s="53">
        <v>47932.317999999999</v>
      </c>
      <c r="D45" s="53"/>
      <c r="E45" s="25">
        <f t="shared" si="0"/>
        <v>3186.9142920737777</v>
      </c>
      <c r="F45" s="25">
        <f t="shared" si="1"/>
        <v>3187</v>
      </c>
      <c r="G45" s="25">
        <f t="shared" si="6"/>
        <v>-0.10119420000410173</v>
      </c>
      <c r="I45" s="25">
        <f t="shared" si="7"/>
        <v>-0.10119420000410173</v>
      </c>
      <c r="Q45" s="52">
        <f t="shared" si="5"/>
        <v>32913.817999999999</v>
      </c>
      <c r="AA45" s="25" t="s">
        <v>32</v>
      </c>
      <c r="AB45" s="25">
        <v>11</v>
      </c>
      <c r="AD45" s="25" t="s">
        <v>29</v>
      </c>
      <c r="AF45" s="25" t="s">
        <v>31</v>
      </c>
    </row>
    <row r="46" spans="1:32" s="25" customFormat="1" ht="12.95" customHeight="1" x14ac:dyDescent="0.2">
      <c r="A46" s="54" t="s">
        <v>36</v>
      </c>
      <c r="B46" s="54"/>
      <c r="C46" s="5">
        <v>47939.356</v>
      </c>
      <c r="D46" s="5"/>
      <c r="E46" s="51">
        <f t="shared" si="0"/>
        <v>3192.8752303955989</v>
      </c>
      <c r="F46" s="25">
        <f t="shared" si="1"/>
        <v>3193</v>
      </c>
      <c r="G46" s="25">
        <f t="shared" si="6"/>
        <v>-0.14731380000011995</v>
      </c>
      <c r="I46" s="25">
        <f t="shared" si="7"/>
        <v>-0.14731380000011995</v>
      </c>
      <c r="Q46" s="52">
        <f t="shared" si="5"/>
        <v>32920.856</v>
      </c>
      <c r="AA46" s="25" t="s">
        <v>32</v>
      </c>
      <c r="AB46" s="25">
        <v>8</v>
      </c>
      <c r="AD46" s="25" t="s">
        <v>29</v>
      </c>
      <c r="AF46" s="25" t="s">
        <v>31</v>
      </c>
    </row>
    <row r="47" spans="1:32" s="25" customFormat="1" ht="12.95" customHeight="1" x14ac:dyDescent="0.2">
      <c r="A47" s="54" t="s">
        <v>36</v>
      </c>
      <c r="B47" s="54"/>
      <c r="C47" s="5">
        <v>47945.326000000001</v>
      </c>
      <c r="D47" s="5"/>
      <c r="E47" s="51">
        <f t="shared" si="0"/>
        <v>3197.9316103020033</v>
      </c>
      <c r="F47" s="25">
        <f t="shared" si="1"/>
        <v>3198</v>
      </c>
      <c r="G47" s="25">
        <f t="shared" si="6"/>
        <v>-8.0746800005726982E-2</v>
      </c>
      <c r="I47" s="25">
        <f t="shared" si="7"/>
        <v>-8.0746800005726982E-2</v>
      </c>
      <c r="Q47" s="52">
        <f t="shared" si="5"/>
        <v>32926.826000000001</v>
      </c>
      <c r="AA47" s="25" t="s">
        <v>32</v>
      </c>
      <c r="AB47" s="25">
        <v>7</v>
      </c>
      <c r="AD47" s="25" t="s">
        <v>29</v>
      </c>
      <c r="AF47" s="25" t="s">
        <v>31</v>
      </c>
    </row>
    <row r="48" spans="1:32" s="25" customFormat="1" ht="12.95" customHeight="1" x14ac:dyDescent="0.2">
      <c r="A48" s="54" t="s">
        <v>36</v>
      </c>
      <c r="B48" s="54"/>
      <c r="C48" s="5">
        <v>47958.300999999999</v>
      </c>
      <c r="D48" s="5"/>
      <c r="E48" s="51">
        <f t="shared" si="0"/>
        <v>3208.9209786915476</v>
      </c>
      <c r="F48" s="25">
        <f t="shared" si="1"/>
        <v>3209</v>
      </c>
      <c r="G48" s="25">
        <f t="shared" si="6"/>
        <v>-9.3299400003161281E-2</v>
      </c>
      <c r="I48" s="25">
        <f t="shared" si="7"/>
        <v>-9.3299400003161281E-2</v>
      </c>
      <c r="Q48" s="52">
        <f t="shared" si="5"/>
        <v>32939.800999999999</v>
      </c>
      <c r="AA48" s="25" t="s">
        <v>32</v>
      </c>
      <c r="AB48" s="25">
        <v>7</v>
      </c>
      <c r="AD48" s="25" t="s">
        <v>29</v>
      </c>
      <c r="AF48" s="25" t="s">
        <v>31</v>
      </c>
    </row>
    <row r="49" spans="1:32" s="25" customFormat="1" ht="12.95" customHeight="1" x14ac:dyDescent="0.2">
      <c r="A49" s="54" t="s">
        <v>37</v>
      </c>
      <c r="B49" s="54"/>
      <c r="C49" s="5">
        <v>48266.47</v>
      </c>
      <c r="D49" s="5">
        <v>7.0000000000000001E-3</v>
      </c>
      <c r="E49" s="51">
        <f t="shared" si="0"/>
        <v>3469.9292767445631</v>
      </c>
      <c r="F49" s="25">
        <f t="shared" si="1"/>
        <v>3470</v>
      </c>
      <c r="G49" s="25">
        <f t="shared" si="6"/>
        <v>-8.3502000001317356E-2</v>
      </c>
      <c r="I49" s="25">
        <f t="shared" si="7"/>
        <v>-8.3502000001317356E-2</v>
      </c>
      <c r="Q49" s="52">
        <f t="shared" si="5"/>
        <v>33247.97</v>
      </c>
      <c r="AA49" s="25" t="s">
        <v>32</v>
      </c>
      <c r="AB49" s="25">
        <v>42</v>
      </c>
      <c r="AD49" s="25" t="s">
        <v>35</v>
      </c>
      <c r="AF49" s="25" t="s">
        <v>31</v>
      </c>
    </row>
    <row r="50" spans="1:32" s="25" customFormat="1" ht="12.95" customHeight="1" x14ac:dyDescent="0.2">
      <c r="A50" s="54" t="s">
        <v>39</v>
      </c>
      <c r="B50" s="54"/>
      <c r="C50" s="5">
        <v>48305.446000000004</v>
      </c>
      <c r="D50" s="5"/>
      <c r="E50" s="51">
        <f t="shared" si="0"/>
        <v>3502.9405771184324</v>
      </c>
      <c r="F50" s="25">
        <f t="shared" si="1"/>
        <v>3503</v>
      </c>
      <c r="G50" s="25">
        <f t="shared" si="6"/>
        <v>-7.0159800001420081E-2</v>
      </c>
      <c r="I50" s="25">
        <f t="shared" si="7"/>
        <v>-7.0159800001420081E-2</v>
      </c>
      <c r="O50" s="25">
        <f t="shared" ref="O50:O57" ca="1" si="8">+C$11+C$12*F50</f>
        <v>-6.8122670971275362E-2</v>
      </c>
      <c r="Q50" s="52">
        <f t="shared" si="5"/>
        <v>33286.946000000004</v>
      </c>
      <c r="AA50" s="25" t="s">
        <v>32</v>
      </c>
      <c r="AB50" s="25">
        <v>14</v>
      </c>
      <c r="AD50" s="25" t="s">
        <v>38</v>
      </c>
      <c r="AF50" s="25" t="s">
        <v>31</v>
      </c>
    </row>
    <row r="51" spans="1:32" s="25" customFormat="1" ht="12.95" customHeight="1" x14ac:dyDescent="0.2">
      <c r="A51" s="54" t="s">
        <v>37</v>
      </c>
      <c r="B51" s="54"/>
      <c r="C51" s="5">
        <v>48331.387000000002</v>
      </c>
      <c r="D51" s="5"/>
      <c r="E51" s="51">
        <f t="shared" si="0"/>
        <v>3524.9116912142467</v>
      </c>
      <c r="F51" s="25">
        <f t="shared" si="1"/>
        <v>3525</v>
      </c>
      <c r="G51" s="25">
        <f t="shared" si="6"/>
        <v>-0.1042650000017602</v>
      </c>
      <c r="I51" s="25">
        <f t="shared" si="7"/>
        <v>-0.1042650000017602</v>
      </c>
      <c r="O51" s="25">
        <f t="shared" ca="1" si="8"/>
        <v>-6.83776757866148E-2</v>
      </c>
      <c r="Q51" s="52">
        <f t="shared" si="5"/>
        <v>33312.887000000002</v>
      </c>
      <c r="AA51" s="25" t="s">
        <v>32</v>
      </c>
      <c r="AB51" s="25">
        <v>9</v>
      </c>
      <c r="AD51" s="25" t="s">
        <v>29</v>
      </c>
      <c r="AF51" s="25" t="s">
        <v>31</v>
      </c>
    </row>
    <row r="52" spans="1:32" s="25" customFormat="1" ht="12.95" customHeight="1" x14ac:dyDescent="0.2">
      <c r="A52" s="54" t="s">
        <v>40</v>
      </c>
      <c r="B52" s="54"/>
      <c r="C52" s="5">
        <v>48651.351999999999</v>
      </c>
      <c r="D52" s="5">
        <v>6.0000000000000001E-3</v>
      </c>
      <c r="E52" s="51">
        <f t="shared" si="0"/>
        <v>3795.9107861476496</v>
      </c>
      <c r="F52" s="25">
        <f t="shared" si="1"/>
        <v>3796</v>
      </c>
      <c r="G52" s="25">
        <f t="shared" si="6"/>
        <v>-0.1053336000040872</v>
      </c>
      <c r="I52" s="25">
        <f t="shared" si="7"/>
        <v>-0.1053336000040872</v>
      </c>
      <c r="O52" s="25">
        <f t="shared" ca="1" si="8"/>
        <v>-7.1518871466477923E-2</v>
      </c>
      <c r="Q52" s="52">
        <f t="shared" si="5"/>
        <v>33632.851999999999</v>
      </c>
      <c r="AA52" s="25" t="s">
        <v>32</v>
      </c>
      <c r="AB52" s="25">
        <v>7</v>
      </c>
      <c r="AD52" s="25" t="s">
        <v>29</v>
      </c>
      <c r="AF52" s="25" t="s">
        <v>31</v>
      </c>
    </row>
    <row r="53" spans="1:32" s="25" customFormat="1" ht="12.95" customHeight="1" x14ac:dyDescent="0.2">
      <c r="A53" s="54" t="s">
        <v>40</v>
      </c>
      <c r="B53" s="54"/>
      <c r="C53" s="5">
        <v>48677.355000000003</v>
      </c>
      <c r="D53" s="5">
        <v>5.0000000000000001E-3</v>
      </c>
      <c r="E53" s="51">
        <f t="shared" ref="E53:E74" si="9">+(C53-C$7)/C$8</f>
        <v>3817.9344120615915</v>
      </c>
      <c r="F53" s="25">
        <f t="shared" ref="F53:F74" si="10">ROUND(2*E53,0)/2</f>
        <v>3818</v>
      </c>
      <c r="G53" s="25">
        <f t="shared" si="6"/>
        <v>-7.7438799999072216E-2</v>
      </c>
      <c r="I53" s="25">
        <f t="shared" si="7"/>
        <v>-7.7438799999072216E-2</v>
      </c>
      <c r="O53" s="25">
        <f t="shared" ca="1" si="8"/>
        <v>-7.1773876281817361E-2</v>
      </c>
      <c r="Q53" s="52">
        <f t="shared" ref="Q53:Q74" si="11">+C53-15018.5</f>
        <v>33658.855000000003</v>
      </c>
      <c r="AA53" s="25" t="s">
        <v>32</v>
      </c>
      <c r="AB53" s="25">
        <v>9</v>
      </c>
      <c r="AD53" s="25" t="s">
        <v>29</v>
      </c>
      <c r="AF53" s="25" t="s">
        <v>31</v>
      </c>
    </row>
    <row r="54" spans="1:32" s="25" customFormat="1" ht="12.95" customHeight="1" x14ac:dyDescent="0.2">
      <c r="A54" s="54" t="s">
        <v>42</v>
      </c>
      <c r="B54" s="54"/>
      <c r="C54" s="5">
        <v>49704.53</v>
      </c>
      <c r="D54" s="5">
        <v>6.0000000000000001E-3</v>
      </c>
      <c r="E54" s="51">
        <f t="shared" si="9"/>
        <v>4687.9154891738381</v>
      </c>
      <c r="F54" s="25">
        <f t="shared" si="10"/>
        <v>4688</v>
      </c>
      <c r="G54" s="25">
        <f t="shared" si="6"/>
        <v>-9.9780800002918113E-2</v>
      </c>
      <c r="I54" s="25">
        <f t="shared" si="7"/>
        <v>-9.9780800002918113E-2</v>
      </c>
      <c r="O54" s="25">
        <f t="shared" ca="1" si="8"/>
        <v>-8.1858157615695273E-2</v>
      </c>
      <c r="Q54" s="52">
        <f t="shared" si="11"/>
        <v>34686.03</v>
      </c>
      <c r="AA54" s="25" t="s">
        <v>41</v>
      </c>
      <c r="AB54" s="25">
        <v>43</v>
      </c>
      <c r="AD54" s="25" t="s">
        <v>35</v>
      </c>
      <c r="AF54" s="25" t="s">
        <v>31</v>
      </c>
    </row>
    <row r="55" spans="1:32" s="25" customFormat="1" ht="12.95" customHeight="1" x14ac:dyDescent="0.2">
      <c r="A55" s="54" t="s">
        <v>43</v>
      </c>
      <c r="B55" s="54"/>
      <c r="C55" s="5">
        <v>50789.587</v>
      </c>
      <c r="D55" s="5">
        <v>0.01</v>
      </c>
      <c r="E55" s="51">
        <f t="shared" si="9"/>
        <v>5606.920583328375</v>
      </c>
      <c r="F55" s="25">
        <f t="shared" si="10"/>
        <v>5607</v>
      </c>
      <c r="G55" s="25">
        <f t="shared" si="6"/>
        <v>-9.3766200006939471E-2</v>
      </c>
      <c r="I55" s="25">
        <f t="shared" si="7"/>
        <v>-9.3766200006939471E-2</v>
      </c>
      <c r="O55" s="25">
        <f t="shared" ca="1" si="8"/>
        <v>-9.2510404220101941E-2</v>
      </c>
      <c r="Q55" s="52">
        <f t="shared" si="11"/>
        <v>35771.087</v>
      </c>
      <c r="AB55" s="25">
        <v>63</v>
      </c>
      <c r="AD55" s="25" t="s">
        <v>35</v>
      </c>
      <c r="AF55" s="25" t="s">
        <v>31</v>
      </c>
    </row>
    <row r="56" spans="1:32" s="25" customFormat="1" ht="12.95" customHeight="1" x14ac:dyDescent="0.2">
      <c r="A56" s="54" t="s">
        <v>46</v>
      </c>
      <c r="B56" s="55" t="s">
        <v>45</v>
      </c>
      <c r="C56" s="56">
        <v>52683.395900000003</v>
      </c>
      <c r="D56" s="56">
        <v>5.1000000000000004E-3</v>
      </c>
      <c r="E56" s="51">
        <f t="shared" si="9"/>
        <v>7210.9100755441787</v>
      </c>
      <c r="F56" s="25">
        <f t="shared" si="10"/>
        <v>7211</v>
      </c>
      <c r="G56" s="25">
        <f t="shared" si="6"/>
        <v>-0.10617260000435635</v>
      </c>
      <c r="J56" s="25">
        <f>+G56</f>
        <v>-0.10617260000435635</v>
      </c>
      <c r="O56" s="25">
        <f t="shared" ca="1" si="8"/>
        <v>-0.11110257348394122</v>
      </c>
      <c r="Q56" s="52">
        <f t="shared" si="11"/>
        <v>37664.895900000003</v>
      </c>
    </row>
    <row r="57" spans="1:32" s="25" customFormat="1" ht="12.95" customHeight="1" x14ac:dyDescent="0.2">
      <c r="A57" s="54" t="s">
        <v>49</v>
      </c>
      <c r="B57" s="57"/>
      <c r="C57" s="5">
        <v>53768.432099999998</v>
      </c>
      <c r="D57" s="5">
        <v>1.6999999999999999E-3</v>
      </c>
      <c r="E57" s="51">
        <f t="shared" si="9"/>
        <v>8129.8975528306955</v>
      </c>
      <c r="F57" s="25">
        <f t="shared" si="10"/>
        <v>8130</v>
      </c>
      <c r="G57" s="25">
        <f t="shared" si="6"/>
        <v>-0.12095800000679446</v>
      </c>
      <c r="J57" s="25">
        <f>+G57</f>
        <v>-0.12095800000679446</v>
      </c>
      <c r="O57" s="25">
        <f t="shared" ca="1" si="8"/>
        <v>-0.12175482008834788</v>
      </c>
      <c r="Q57" s="52">
        <f t="shared" si="11"/>
        <v>38749.932099999998</v>
      </c>
    </row>
    <row r="58" spans="1:32" s="25" customFormat="1" ht="12.95" customHeight="1" x14ac:dyDescent="0.2">
      <c r="A58" s="7" t="s">
        <v>58</v>
      </c>
      <c r="B58" s="8" t="s">
        <v>45</v>
      </c>
      <c r="C58" s="7">
        <v>53833.37141</v>
      </c>
      <c r="D58" s="7" t="s">
        <v>59</v>
      </c>
      <c r="E58" s="51">
        <f t="shared" si="9"/>
        <v>8184.8988630852555</v>
      </c>
      <c r="F58" s="25">
        <f t="shared" si="10"/>
        <v>8185</v>
      </c>
      <c r="G58" s="25">
        <f t="shared" ref="G58:G63" si="12">+C58-(C$7+F58*C$8)</f>
        <v>-0.11941099999967264</v>
      </c>
      <c r="N58" s="25">
        <f>+G58</f>
        <v>-0.11941099999967264</v>
      </c>
      <c r="O58" s="25">
        <f t="shared" ref="O58:O74" ca="1" si="13">+C$11+C$12*F58</f>
        <v>-0.12239233212669648</v>
      </c>
      <c r="Q58" s="52">
        <f t="shared" si="11"/>
        <v>38814.87141</v>
      </c>
    </row>
    <row r="59" spans="1:32" s="25" customFormat="1" ht="12.95" customHeight="1" x14ac:dyDescent="0.2">
      <c r="A59" s="5" t="s">
        <v>56</v>
      </c>
      <c r="B59" s="55"/>
      <c r="C59" s="5">
        <v>54153.330900000001</v>
      </c>
      <c r="D59" s="5">
        <v>3.3E-3</v>
      </c>
      <c r="E59" s="51">
        <f t="shared" si="9"/>
        <v>8455.893291242568</v>
      </c>
      <c r="F59" s="25">
        <f t="shared" si="10"/>
        <v>8456</v>
      </c>
      <c r="G59" s="25">
        <f t="shared" si="12"/>
        <v>-0.12598960000468651</v>
      </c>
      <c r="J59" s="25">
        <f>+G59</f>
        <v>-0.12598960000468651</v>
      </c>
      <c r="O59" s="25">
        <f t="shared" ca="1" si="13"/>
        <v>-0.1255335278065596</v>
      </c>
      <c r="Q59" s="52">
        <f t="shared" si="11"/>
        <v>39134.830900000001</v>
      </c>
    </row>
    <row r="60" spans="1:32" s="25" customFormat="1" ht="12.95" customHeight="1" x14ac:dyDescent="0.2">
      <c r="A60" s="7" t="s">
        <v>58</v>
      </c>
      <c r="B60" s="8" t="s">
        <v>45</v>
      </c>
      <c r="C60" s="7">
        <v>54192.294430000002</v>
      </c>
      <c r="D60" s="7">
        <v>2.9999999999999997E-4</v>
      </c>
      <c r="E60" s="51">
        <f t="shared" si="9"/>
        <v>8488.894029965275</v>
      </c>
      <c r="F60" s="25">
        <f t="shared" si="10"/>
        <v>8489</v>
      </c>
      <c r="G60" s="25">
        <f t="shared" si="12"/>
        <v>-0.12511739999899874</v>
      </c>
      <c r="N60" s="25">
        <f>+G60</f>
        <v>-0.12511739999899874</v>
      </c>
      <c r="O60" s="25">
        <f t="shared" ca="1" si="13"/>
        <v>-0.12591603502956877</v>
      </c>
      <c r="Q60" s="52">
        <f t="shared" si="11"/>
        <v>39173.794430000002</v>
      </c>
    </row>
    <row r="61" spans="1:32" s="25" customFormat="1" ht="12.95" customHeight="1" x14ac:dyDescent="0.2">
      <c r="A61" s="7" t="s">
        <v>63</v>
      </c>
      <c r="B61" s="8" t="s">
        <v>45</v>
      </c>
      <c r="C61" s="7">
        <v>54500.453009999997</v>
      </c>
      <c r="D61" s="7">
        <v>1E-3</v>
      </c>
      <c r="E61" s="51">
        <f t="shared" si="9"/>
        <v>8749.8935026449817</v>
      </c>
      <c r="F61" s="25">
        <f t="shared" si="10"/>
        <v>8750</v>
      </c>
      <c r="G61" s="25">
        <f t="shared" si="12"/>
        <v>-0.1257400000031339</v>
      </c>
      <c r="N61" s="25">
        <f>+G61</f>
        <v>-0.1257400000031339</v>
      </c>
      <c r="O61" s="25">
        <f t="shared" ca="1" si="13"/>
        <v>-0.12894131942973214</v>
      </c>
      <c r="Q61" s="52">
        <f t="shared" si="11"/>
        <v>39481.953009999997</v>
      </c>
    </row>
    <row r="62" spans="1:32" s="25" customFormat="1" ht="12.95" customHeight="1" x14ac:dyDescent="0.2">
      <c r="A62" s="7" t="s">
        <v>63</v>
      </c>
      <c r="B62" s="8" t="s">
        <v>45</v>
      </c>
      <c r="C62" s="7">
        <v>54506.349710000002</v>
      </c>
      <c r="D62" s="7">
        <v>8.0000000000000004E-4</v>
      </c>
      <c r="E62" s="51">
        <f t="shared" si="9"/>
        <v>8754.8878000309305</v>
      </c>
      <c r="F62" s="25">
        <f t="shared" si="10"/>
        <v>8755</v>
      </c>
      <c r="G62" s="25">
        <f t="shared" si="12"/>
        <v>-0.13247299999784445</v>
      </c>
      <c r="N62" s="25">
        <f>+G62</f>
        <v>-0.13247299999784445</v>
      </c>
      <c r="O62" s="25">
        <f t="shared" ca="1" si="13"/>
        <v>-0.12899927506958203</v>
      </c>
      <c r="Q62" s="52">
        <f t="shared" si="11"/>
        <v>39487.849710000002</v>
      </c>
    </row>
    <row r="63" spans="1:32" s="25" customFormat="1" ht="12.95" customHeight="1" x14ac:dyDescent="0.2">
      <c r="A63" s="48" t="s">
        <v>236</v>
      </c>
      <c r="B63" s="49" t="s">
        <v>45</v>
      </c>
      <c r="C63" s="50">
        <v>54845.206599999998</v>
      </c>
      <c r="D63" s="50" t="s">
        <v>80</v>
      </c>
      <c r="E63" s="51">
        <f t="shared" si="9"/>
        <v>9041.8876609593044</v>
      </c>
      <c r="F63" s="25">
        <f t="shared" si="10"/>
        <v>9042</v>
      </c>
      <c r="G63" s="25">
        <f t="shared" si="12"/>
        <v>-0.13263720000395551</v>
      </c>
      <c r="I63" s="25">
        <f>+G63</f>
        <v>-0.13263720000395551</v>
      </c>
      <c r="O63" s="25">
        <f t="shared" ca="1" si="13"/>
        <v>-0.13232592879696473</v>
      </c>
      <c r="Q63" s="52">
        <f t="shared" si="11"/>
        <v>39826.706599999998</v>
      </c>
    </row>
    <row r="64" spans="1:32" s="25" customFormat="1" ht="12.95" customHeight="1" x14ac:dyDescent="0.2">
      <c r="A64" s="5" t="s">
        <v>60</v>
      </c>
      <c r="B64" s="6" t="s">
        <v>45</v>
      </c>
      <c r="C64" s="5">
        <v>54868.833899999998</v>
      </c>
      <c r="D64" s="5">
        <v>2.9999999999999997E-4</v>
      </c>
      <c r="E64" s="51">
        <f t="shared" si="9"/>
        <v>9061.8991525778256</v>
      </c>
      <c r="F64" s="25">
        <f t="shared" si="10"/>
        <v>9062</v>
      </c>
      <c r="O64" s="25">
        <f t="shared" ca="1" si="13"/>
        <v>-0.13255775135636422</v>
      </c>
      <c r="Q64" s="52">
        <f t="shared" si="11"/>
        <v>39850.333899999998</v>
      </c>
      <c r="U64" s="25">
        <f>+C64-(C$7+F64*C$8)</f>
        <v>-0.11906920000910759</v>
      </c>
    </row>
    <row r="65" spans="1:21" s="25" customFormat="1" ht="12.95" customHeight="1" x14ac:dyDescent="0.2">
      <c r="A65" s="48" t="s">
        <v>245</v>
      </c>
      <c r="B65" s="49" t="s">
        <v>292</v>
      </c>
      <c r="C65" s="50">
        <v>55198.2304</v>
      </c>
      <c r="D65" s="50" t="s">
        <v>80</v>
      </c>
      <c r="E65" s="51">
        <f t="shared" si="9"/>
        <v>9340.8863961020616</v>
      </c>
      <c r="F65" s="25">
        <f t="shared" si="10"/>
        <v>9341</v>
      </c>
      <c r="G65" s="25">
        <f>+C65-(C$7+F65*C$8)</f>
        <v>-0.13413060000311816</v>
      </c>
      <c r="I65" s="25">
        <f>+G65</f>
        <v>-0.13413060000311816</v>
      </c>
      <c r="O65" s="25">
        <f t="shared" ca="1" si="13"/>
        <v>-0.13579167605998713</v>
      </c>
      <c r="Q65" s="52">
        <f t="shared" si="11"/>
        <v>40179.7304</v>
      </c>
    </row>
    <row r="66" spans="1:21" s="25" customFormat="1" ht="12.95" customHeight="1" x14ac:dyDescent="0.2">
      <c r="A66" s="48" t="s">
        <v>245</v>
      </c>
      <c r="B66" s="49" t="s">
        <v>45</v>
      </c>
      <c r="C66" s="50">
        <v>55233.085500000001</v>
      </c>
      <c r="D66" s="50" t="s">
        <v>80</v>
      </c>
      <c r="E66" s="51">
        <f t="shared" si="9"/>
        <v>9370.407439196817</v>
      </c>
      <c r="F66" s="25">
        <f t="shared" si="10"/>
        <v>9370.5</v>
      </c>
      <c r="O66" s="25">
        <f t="shared" ca="1" si="13"/>
        <v>-0.13613361433510138</v>
      </c>
      <c r="Q66" s="52">
        <f t="shared" si="11"/>
        <v>40214.585500000001</v>
      </c>
      <c r="U66" s="25">
        <f>+C66-(C$7+F66*C$8)</f>
        <v>-0.10928530000091996</v>
      </c>
    </row>
    <row r="67" spans="1:21" s="25" customFormat="1" ht="12.95" customHeight="1" x14ac:dyDescent="0.2">
      <c r="A67" s="5" t="s">
        <v>67</v>
      </c>
      <c r="B67" s="6" t="s">
        <v>45</v>
      </c>
      <c r="C67" s="5">
        <v>55244.271500000003</v>
      </c>
      <c r="D67" s="5" t="s">
        <v>68</v>
      </c>
      <c r="E67" s="51">
        <f t="shared" si="9"/>
        <v>9379.8815875440596</v>
      </c>
      <c r="F67" s="25">
        <f t="shared" si="10"/>
        <v>9380</v>
      </c>
      <c r="G67" s="25">
        <f t="shared" ref="G67:G74" si="14">+C67-(C$7+F67*C$8)</f>
        <v>-0.13980799999990268</v>
      </c>
      <c r="J67" s="25">
        <f>+G67</f>
        <v>-0.13980799999990268</v>
      </c>
      <c r="O67" s="25">
        <f t="shared" ca="1" si="13"/>
        <v>-0.13624373005081614</v>
      </c>
      <c r="Q67" s="52">
        <f t="shared" si="11"/>
        <v>40225.771500000003</v>
      </c>
    </row>
    <row r="68" spans="1:21" s="25" customFormat="1" ht="12.95" customHeight="1" x14ac:dyDescent="0.2">
      <c r="A68" s="54" t="s">
        <v>64</v>
      </c>
      <c r="B68" s="6" t="s">
        <v>45</v>
      </c>
      <c r="C68" s="5">
        <v>55591.391430000003</v>
      </c>
      <c r="D68" s="5">
        <v>5.0000000000000001E-4</v>
      </c>
      <c r="E68" s="51">
        <f t="shared" si="9"/>
        <v>9673.8799525631948</v>
      </c>
      <c r="F68" s="25">
        <f t="shared" si="10"/>
        <v>9674</v>
      </c>
      <c r="G68" s="25">
        <f t="shared" si="14"/>
        <v>-0.1417384000014863</v>
      </c>
      <c r="N68" s="25">
        <f>+G68</f>
        <v>-0.1417384000014863</v>
      </c>
      <c r="O68" s="25">
        <f t="shared" ca="1" si="13"/>
        <v>-0.13965152167398867</v>
      </c>
      <c r="Q68" s="52">
        <f t="shared" si="11"/>
        <v>40572.891430000003</v>
      </c>
    </row>
    <row r="69" spans="1:21" s="25" customFormat="1" ht="12.95" customHeight="1" x14ac:dyDescent="0.2">
      <c r="A69" s="54" t="s">
        <v>64</v>
      </c>
      <c r="B69" s="6" t="s">
        <v>45</v>
      </c>
      <c r="C69" s="5">
        <v>55591.391929999998</v>
      </c>
      <c r="D69" s="5">
        <v>6.9999999999999999E-4</v>
      </c>
      <c r="E69" s="51">
        <f t="shared" si="9"/>
        <v>9673.8803760455939</v>
      </c>
      <c r="F69" s="25">
        <f t="shared" si="10"/>
        <v>9674</v>
      </c>
      <c r="G69" s="25">
        <f t="shared" si="14"/>
        <v>-0.1412384000068414</v>
      </c>
      <c r="N69" s="25">
        <f>+G69</f>
        <v>-0.1412384000068414</v>
      </c>
      <c r="O69" s="25">
        <f t="shared" ca="1" si="13"/>
        <v>-0.13965152167398867</v>
      </c>
      <c r="Q69" s="52">
        <f t="shared" si="11"/>
        <v>40572.891929999998</v>
      </c>
    </row>
    <row r="70" spans="1:21" s="25" customFormat="1" ht="12.95" customHeight="1" x14ac:dyDescent="0.2">
      <c r="A70" s="54" t="s">
        <v>64</v>
      </c>
      <c r="B70" s="6" t="s">
        <v>45</v>
      </c>
      <c r="C70" s="5">
        <v>55591.39273</v>
      </c>
      <c r="D70" s="5">
        <v>4.0000000000000002E-4</v>
      </c>
      <c r="E70" s="51">
        <f t="shared" si="9"/>
        <v>9673.8810536174424</v>
      </c>
      <c r="F70" s="25">
        <f t="shared" si="10"/>
        <v>9674</v>
      </c>
      <c r="G70" s="25">
        <f t="shared" si="14"/>
        <v>-0.14043840000522323</v>
      </c>
      <c r="N70" s="25">
        <f>+G70</f>
        <v>-0.14043840000522323</v>
      </c>
      <c r="O70" s="25">
        <f t="shared" ca="1" si="13"/>
        <v>-0.13965152167398867</v>
      </c>
      <c r="Q70" s="52">
        <f t="shared" si="11"/>
        <v>40572.89273</v>
      </c>
    </row>
    <row r="71" spans="1:21" s="25" customFormat="1" ht="12.95" customHeight="1" x14ac:dyDescent="0.2">
      <c r="A71" s="5" t="s">
        <v>65</v>
      </c>
      <c r="B71" s="6" t="s">
        <v>45</v>
      </c>
      <c r="C71" s="5">
        <v>55638.616000000002</v>
      </c>
      <c r="D71" s="5">
        <v>4.0000000000000001E-3</v>
      </c>
      <c r="E71" s="51">
        <f t="shared" si="9"/>
        <v>9713.8775014470375</v>
      </c>
      <c r="F71" s="25">
        <f t="shared" si="10"/>
        <v>9714</v>
      </c>
      <c r="G71" s="25">
        <f t="shared" si="14"/>
        <v>-0.14463240000623045</v>
      </c>
      <c r="J71" s="25">
        <f>+G71</f>
        <v>-0.14463240000623045</v>
      </c>
      <c r="O71" s="25">
        <f t="shared" ca="1" si="13"/>
        <v>-0.14011516679278768</v>
      </c>
      <c r="Q71" s="52">
        <f t="shared" si="11"/>
        <v>40620.116000000002</v>
      </c>
    </row>
    <row r="72" spans="1:21" s="25" customFormat="1" ht="12.95" customHeight="1" x14ac:dyDescent="0.2">
      <c r="A72" s="5" t="s">
        <v>66</v>
      </c>
      <c r="B72" s="6" t="s">
        <v>45</v>
      </c>
      <c r="C72" s="5">
        <v>55873.570090000001</v>
      </c>
      <c r="D72" s="5">
        <v>1.9000000000000001E-4</v>
      </c>
      <c r="E72" s="51">
        <f t="shared" si="9"/>
        <v>9912.8753472767439</v>
      </c>
      <c r="F72" s="25">
        <f t="shared" si="10"/>
        <v>9913</v>
      </c>
      <c r="G72" s="25">
        <f t="shared" si="14"/>
        <v>-0.14717580000433372</v>
      </c>
      <c r="J72" s="25">
        <f>+G72</f>
        <v>-0.14717580000433372</v>
      </c>
      <c r="O72" s="25">
        <f t="shared" ca="1" si="13"/>
        <v>-0.1424218012588126</v>
      </c>
      <c r="Q72" s="52">
        <f t="shared" si="11"/>
        <v>40855.070090000001</v>
      </c>
    </row>
    <row r="73" spans="1:21" s="25" customFormat="1" ht="12.95" customHeight="1" x14ac:dyDescent="0.2">
      <c r="A73" s="48" t="s">
        <v>279</v>
      </c>
      <c r="B73" s="49" t="s">
        <v>292</v>
      </c>
      <c r="C73" s="50">
        <v>56296.255299999997</v>
      </c>
      <c r="D73" s="50" t="s">
        <v>80</v>
      </c>
      <c r="E73" s="51">
        <f t="shared" si="9"/>
        <v>10270.874845196002</v>
      </c>
      <c r="F73" s="25">
        <f t="shared" si="10"/>
        <v>10271</v>
      </c>
      <c r="G73" s="25">
        <f t="shared" si="14"/>
        <v>-0.14776860000711167</v>
      </c>
      <c r="I73" s="25">
        <f>+G73</f>
        <v>-0.14776860000711167</v>
      </c>
      <c r="O73" s="25">
        <f t="shared" ca="1" si="13"/>
        <v>-0.1465714250720635</v>
      </c>
      <c r="Q73" s="52">
        <f t="shared" si="11"/>
        <v>41277.755299999997</v>
      </c>
    </row>
    <row r="74" spans="1:21" s="25" customFormat="1" ht="12.95" customHeight="1" x14ac:dyDescent="0.2">
      <c r="A74" s="48" t="s">
        <v>279</v>
      </c>
      <c r="B74" s="49" t="s">
        <v>45</v>
      </c>
      <c r="C74" s="50">
        <v>56321.052799999998</v>
      </c>
      <c r="D74" s="50" t="s">
        <v>80</v>
      </c>
      <c r="E74" s="51">
        <f t="shared" si="9"/>
        <v>10291.877455033362</v>
      </c>
      <c r="F74" s="25">
        <f t="shared" si="10"/>
        <v>10292</v>
      </c>
      <c r="G74" s="25">
        <f t="shared" si="14"/>
        <v>-0.14468720000877511</v>
      </c>
      <c r="I74" s="25">
        <f>+G74</f>
        <v>-0.14468720000877511</v>
      </c>
      <c r="O74" s="25">
        <f t="shared" ca="1" si="13"/>
        <v>-0.14681483875943299</v>
      </c>
      <c r="Q74" s="52">
        <f t="shared" si="11"/>
        <v>41302.552799999998</v>
      </c>
    </row>
    <row r="75" spans="1:21" s="25" customFormat="1" ht="12.95" customHeight="1" x14ac:dyDescent="0.2">
      <c r="A75" s="58" t="s">
        <v>294</v>
      </c>
      <c r="B75" s="59" t="s">
        <v>45</v>
      </c>
      <c r="C75" s="60">
        <v>57033.07890000008</v>
      </c>
      <c r="D75" s="60" t="s">
        <v>79</v>
      </c>
      <c r="E75" s="51">
        <f t="shared" ref="E75:E81" si="15">+(C75-C$7)/C$8</f>
        <v>10894.938504426218</v>
      </c>
      <c r="F75" s="25">
        <f t="shared" ref="F75:F81" si="16">ROUND(2*E75,0)/2</f>
        <v>10895</v>
      </c>
      <c r="O75" s="25">
        <f t="shared" ref="O75:O81" ca="1" si="17">+C$11+C$12*F75</f>
        <v>-0.15380428892532769</v>
      </c>
      <c r="Q75" s="52">
        <f t="shared" ref="Q75:Q81" si="18">+C75-15018.5</f>
        <v>42014.57890000008</v>
      </c>
      <c r="U75" s="25">
        <f>+C75-(C$7+F75*C$8)</f>
        <v>-7.2606999921845272E-2</v>
      </c>
    </row>
    <row r="76" spans="1:21" s="25" customFormat="1" ht="12.95" customHeight="1" x14ac:dyDescent="0.2">
      <c r="A76" s="58" t="s">
        <v>294</v>
      </c>
      <c r="B76" s="59" t="s">
        <v>292</v>
      </c>
      <c r="C76" s="60">
        <v>57063.005700000096</v>
      </c>
      <c r="D76" s="60" t="s">
        <v>79</v>
      </c>
      <c r="E76" s="51">
        <f t="shared" si="15"/>
        <v>10920.285450855537</v>
      </c>
      <c r="F76" s="25">
        <f t="shared" si="16"/>
        <v>10920.5</v>
      </c>
      <c r="O76" s="25">
        <f t="shared" ca="1" si="17"/>
        <v>-0.15409986268856202</v>
      </c>
      <c r="Q76" s="52">
        <f t="shared" si="18"/>
        <v>42044.505700000096</v>
      </c>
      <c r="U76" s="25">
        <f>+C76-(C$7+F76*C$8)</f>
        <v>-0.25331529990944546</v>
      </c>
    </row>
    <row r="77" spans="1:21" s="25" customFormat="1" ht="12.95" customHeight="1" x14ac:dyDescent="0.2">
      <c r="A77" s="61" t="s">
        <v>69</v>
      </c>
      <c r="B77" s="62"/>
      <c r="C77" s="61">
        <v>57074.331200000001</v>
      </c>
      <c r="D77" s="61">
        <v>9.2999999999999992E-3</v>
      </c>
      <c r="E77" s="51">
        <f t="shared" si="15"/>
        <v>10929.877750793476</v>
      </c>
      <c r="F77" s="25">
        <f t="shared" si="16"/>
        <v>10930</v>
      </c>
      <c r="O77" s="25">
        <f t="shared" ca="1" si="17"/>
        <v>-0.15420997840427678</v>
      </c>
      <c r="Q77" s="52">
        <f t="shared" si="18"/>
        <v>42055.831200000001</v>
      </c>
      <c r="U77" s="25">
        <f>+C77-(C$7+F77*C$8)</f>
        <v>-0.14433800000551855</v>
      </c>
    </row>
    <row r="78" spans="1:21" s="25" customFormat="1" ht="12.95" customHeight="1" x14ac:dyDescent="0.2">
      <c r="A78" s="58" t="s">
        <v>294</v>
      </c>
      <c r="B78" s="59" t="s">
        <v>45</v>
      </c>
      <c r="C78" s="60">
        <v>57373.026800000109</v>
      </c>
      <c r="D78" s="60" t="s">
        <v>79</v>
      </c>
      <c r="E78" s="51">
        <f t="shared" si="15"/>
        <v>11182.862412430281</v>
      </c>
      <c r="F78" s="25">
        <f t="shared" si="16"/>
        <v>11183</v>
      </c>
      <c r="G78" s="25">
        <f>+C78-(C$7+F78*C$8)</f>
        <v>-0.16244779989938252</v>
      </c>
      <c r="I78" s="25">
        <f>+G78</f>
        <v>-0.16244779989938252</v>
      </c>
      <c r="O78" s="25">
        <f t="shared" ca="1" si="17"/>
        <v>-0.15714253378068035</v>
      </c>
      <c r="Q78" s="52">
        <f t="shared" si="18"/>
        <v>42354.526800000109</v>
      </c>
    </row>
    <row r="79" spans="1:21" s="25" customFormat="1" ht="12.95" customHeight="1" x14ac:dyDescent="0.2">
      <c r="A79" s="58" t="s">
        <v>295</v>
      </c>
      <c r="B79" s="59" t="s">
        <v>45</v>
      </c>
      <c r="C79" s="60">
        <v>57414.362289999997</v>
      </c>
      <c r="D79" s="60">
        <v>1.9E-3</v>
      </c>
      <c r="E79" s="51">
        <f t="shared" si="15"/>
        <v>11217.872117799925</v>
      </c>
      <c r="F79" s="25">
        <f t="shared" si="16"/>
        <v>11218</v>
      </c>
      <c r="G79" s="25">
        <f>+C79-(C$7+F79*C$8)</f>
        <v>-0.15098880000732606</v>
      </c>
      <c r="I79" s="25">
        <f>+G79</f>
        <v>-0.15098880000732606</v>
      </c>
      <c r="O79" s="25">
        <f t="shared" ca="1" si="17"/>
        <v>-0.15754822325962947</v>
      </c>
      <c r="Q79" s="52">
        <f t="shared" si="18"/>
        <v>42395.862289999997</v>
      </c>
    </row>
    <row r="80" spans="1:21" s="25" customFormat="1" ht="12.95" customHeight="1" x14ac:dyDescent="0.2">
      <c r="A80" s="63" t="s">
        <v>0</v>
      </c>
      <c r="B80" s="64" t="s">
        <v>45</v>
      </c>
      <c r="C80" s="64">
        <v>57800.432099999998</v>
      </c>
      <c r="D80" s="64">
        <v>1.9E-3</v>
      </c>
      <c r="E80" s="51">
        <f t="shared" si="15"/>
        <v>11544.85966047213</v>
      </c>
      <c r="F80" s="25">
        <f t="shared" si="16"/>
        <v>11545</v>
      </c>
      <c r="G80" s="25">
        <f>+C80-(C$7+F80*C$8)</f>
        <v>-0.16569700000400189</v>
      </c>
      <c r="K80" s="25">
        <f>+G80</f>
        <v>-0.16569700000400189</v>
      </c>
      <c r="O80" s="25">
        <f t="shared" ca="1" si="17"/>
        <v>-0.16133852210581118</v>
      </c>
      <c r="Q80" s="52">
        <f t="shared" si="18"/>
        <v>42781.932099999998</v>
      </c>
    </row>
    <row r="81" spans="1:17" s="25" customFormat="1" ht="12.95" customHeight="1" x14ac:dyDescent="0.2">
      <c r="A81" s="65" t="s">
        <v>296</v>
      </c>
      <c r="B81" s="49"/>
      <c r="C81" s="5">
        <v>58103.876100000001</v>
      </c>
      <c r="D81" s="5">
        <v>2.9999999999999997E-4</v>
      </c>
      <c r="E81" s="51">
        <f t="shared" si="15"/>
        <v>11801.866049805256</v>
      </c>
      <c r="F81" s="25">
        <f t="shared" si="16"/>
        <v>11802</v>
      </c>
      <c r="G81" s="25">
        <f>+C81-(C$7+F81*C$8)</f>
        <v>-0.15815320000547217</v>
      </c>
      <c r="K81" s="25">
        <f>+G81</f>
        <v>-0.15815320000547217</v>
      </c>
      <c r="O81" s="25">
        <f t="shared" ca="1" si="17"/>
        <v>-0.16431744199409465</v>
      </c>
      <c r="Q81" s="52">
        <f t="shared" si="18"/>
        <v>43085.376100000001</v>
      </c>
    </row>
    <row r="82" spans="1:17" s="25" customFormat="1" ht="12.95" customHeight="1" x14ac:dyDescent="0.2">
      <c r="A82" s="24" t="s">
        <v>297</v>
      </c>
      <c r="B82" s="66" t="s">
        <v>45</v>
      </c>
      <c r="C82" s="67">
        <v>59644.654000000002</v>
      </c>
      <c r="D82" s="67">
        <v>2E-3</v>
      </c>
      <c r="E82" s="51">
        <f t="shared" ref="E82" si="19">+(C82-C$7)/C$8</f>
        <v>13106.850708731681</v>
      </c>
      <c r="F82" s="25">
        <f t="shared" ref="F82" si="20">ROUND(2*E82,0)/2</f>
        <v>13107</v>
      </c>
      <c r="G82" s="25">
        <f>+C82-(C$7+F82*C$8)</f>
        <v>-0.17626620000373805</v>
      </c>
      <c r="K82" s="25">
        <f>+G82</f>
        <v>-0.17626620000373805</v>
      </c>
      <c r="O82" s="25">
        <f t="shared" ref="O82" ca="1" si="21">+C$11+C$12*F82</f>
        <v>-0.17944386399491152</v>
      </c>
      <c r="Q82" s="52">
        <f t="shared" ref="Q82" si="22">+C82-15018.5</f>
        <v>44626.154000000002</v>
      </c>
    </row>
    <row r="83" spans="1:17" s="25" customFormat="1" ht="12.95" customHeight="1" x14ac:dyDescent="0.2">
      <c r="A83" s="68"/>
      <c r="B83" s="69"/>
      <c r="C83" s="70"/>
      <c r="D83" s="71"/>
      <c r="E83" s="51"/>
      <c r="Q83" s="52"/>
    </row>
    <row r="84" spans="1:17" s="25" customFormat="1" ht="12.95" customHeight="1" x14ac:dyDescent="0.2">
      <c r="A84" s="72"/>
      <c r="B84" s="73"/>
      <c r="C84" s="72"/>
      <c r="D84" s="72"/>
      <c r="E84" s="51"/>
      <c r="Q84" s="52"/>
    </row>
    <row r="85" spans="1:17" s="25" customFormat="1" ht="12.95" customHeight="1" x14ac:dyDescent="0.2">
      <c r="A85" s="68"/>
      <c r="B85" s="69"/>
      <c r="C85" s="70"/>
      <c r="D85" s="71"/>
      <c r="E85" s="51"/>
      <c r="Q85" s="52"/>
    </row>
    <row r="86" spans="1:17" s="25" customFormat="1" ht="12.95" customHeight="1" x14ac:dyDescent="0.2">
      <c r="A86" s="72"/>
      <c r="B86" s="73"/>
      <c r="C86" s="72"/>
      <c r="D86" s="72"/>
      <c r="E86" s="51"/>
      <c r="Q86" s="52"/>
    </row>
    <row r="87" spans="1:17" s="25" customFormat="1" ht="12.95" customHeight="1" x14ac:dyDescent="0.2">
      <c r="A87" s="72"/>
      <c r="B87" s="73"/>
      <c r="C87" s="72"/>
      <c r="D87" s="72"/>
      <c r="E87" s="51"/>
      <c r="Q87" s="52"/>
    </row>
    <row r="88" spans="1:17" s="25" customFormat="1" ht="12.95" customHeight="1" x14ac:dyDescent="0.2">
      <c r="A88" s="72"/>
      <c r="B88" s="73"/>
      <c r="C88" s="72"/>
      <c r="D88" s="72"/>
      <c r="E88" s="51"/>
      <c r="Q88" s="52"/>
    </row>
    <row r="89" spans="1:17" s="25" customFormat="1" ht="12.95" customHeight="1" x14ac:dyDescent="0.2">
      <c r="A89" s="68"/>
      <c r="B89" s="69"/>
      <c r="C89" s="70"/>
      <c r="D89" s="71"/>
      <c r="E89" s="51"/>
      <c r="Q89" s="52"/>
    </row>
    <row r="90" spans="1:17" s="25" customFormat="1" ht="12.95" customHeight="1" x14ac:dyDescent="0.2">
      <c r="A90" s="68"/>
      <c r="B90" s="69"/>
      <c r="C90" s="70"/>
      <c r="D90" s="71"/>
      <c r="E90" s="51"/>
      <c r="Q90" s="52"/>
    </row>
    <row r="91" spans="1:17" s="25" customFormat="1" ht="12.95" customHeight="1" x14ac:dyDescent="0.2">
      <c r="A91" s="68"/>
      <c r="B91" s="69"/>
      <c r="C91" s="70"/>
      <c r="D91" s="71"/>
      <c r="E91" s="51"/>
      <c r="Q91" s="52"/>
    </row>
    <row r="92" spans="1:17" s="25" customFormat="1" ht="12.95" customHeight="1" x14ac:dyDescent="0.2">
      <c r="A92" s="68"/>
      <c r="B92" s="69"/>
      <c r="C92" s="70"/>
      <c r="D92" s="71"/>
      <c r="E92" s="51"/>
      <c r="Q92" s="52"/>
    </row>
    <row r="93" spans="1:17" s="25" customFormat="1" ht="12.95" customHeight="1" x14ac:dyDescent="0.2">
      <c r="A93" s="68"/>
      <c r="B93" s="69"/>
      <c r="C93" s="70"/>
      <c r="D93" s="70"/>
      <c r="E93" s="51"/>
      <c r="Q93" s="52"/>
    </row>
    <row r="94" spans="1:17" s="25" customFormat="1" ht="12.95" customHeight="1" x14ac:dyDescent="0.2">
      <c r="A94" s="68"/>
      <c r="B94" s="69"/>
      <c r="C94" s="70"/>
      <c r="D94" s="70" t="s">
        <v>283</v>
      </c>
      <c r="E94" s="51"/>
      <c r="Q94" s="52"/>
    </row>
    <row r="95" spans="1:17" s="25" customFormat="1" ht="12.95" customHeight="1" x14ac:dyDescent="0.2">
      <c r="A95" s="68"/>
      <c r="B95" s="69"/>
      <c r="C95" s="70"/>
      <c r="D95" s="70"/>
      <c r="E95" s="51"/>
      <c r="Q95" s="52"/>
    </row>
    <row r="96" spans="1:17" s="25" customFormat="1" ht="12.95" customHeight="1" x14ac:dyDescent="0.2">
      <c r="A96" s="68"/>
      <c r="B96" s="69"/>
      <c r="C96" s="70"/>
      <c r="D96" s="70"/>
      <c r="E96" s="51"/>
      <c r="Q96" s="52"/>
    </row>
    <row r="97" spans="2:4" s="25" customFormat="1" ht="12.95" customHeight="1" x14ac:dyDescent="0.2">
      <c r="B97" s="38"/>
      <c r="C97" s="53"/>
      <c r="D97" s="53"/>
    </row>
    <row r="98" spans="2:4" s="25" customFormat="1" ht="12.95" customHeight="1" x14ac:dyDescent="0.2">
      <c r="B98" s="38"/>
      <c r="C98" s="53"/>
      <c r="D98" s="53"/>
    </row>
    <row r="99" spans="2:4" s="25" customFormat="1" ht="12.95" customHeight="1" x14ac:dyDescent="0.2">
      <c r="B99" s="38"/>
      <c r="C99" s="53"/>
      <c r="D99" s="53"/>
    </row>
    <row r="100" spans="2:4" s="25" customFormat="1" ht="12.95" customHeight="1" x14ac:dyDescent="0.2">
      <c r="B100" s="38"/>
      <c r="C100" s="53"/>
      <c r="D100" s="53"/>
    </row>
    <row r="101" spans="2:4" s="25" customFormat="1" ht="12.95" customHeight="1" x14ac:dyDescent="0.2">
      <c r="B101" s="38"/>
      <c r="C101" s="53"/>
      <c r="D101" s="53"/>
    </row>
    <row r="102" spans="2:4" s="25" customFormat="1" ht="12.95" customHeight="1" x14ac:dyDescent="0.2">
      <c r="B102" s="38"/>
      <c r="C102" s="53"/>
      <c r="D102" s="53"/>
    </row>
    <row r="103" spans="2:4" s="25" customFormat="1" ht="12.95" customHeight="1" x14ac:dyDescent="0.2">
      <c r="B103" s="38"/>
      <c r="C103" s="53"/>
      <c r="D103" s="53"/>
    </row>
    <row r="104" spans="2:4" s="25" customFormat="1" ht="12.95" customHeight="1" x14ac:dyDescent="0.2">
      <c r="B104" s="38"/>
      <c r="C104" s="53"/>
      <c r="D104" s="53"/>
    </row>
    <row r="105" spans="2:4" s="25" customFormat="1" ht="12.95" customHeight="1" x14ac:dyDescent="0.2">
      <c r="B105" s="38"/>
      <c r="C105" s="53"/>
      <c r="D105" s="53"/>
    </row>
    <row r="106" spans="2:4" s="25" customFormat="1" ht="12.95" customHeight="1" x14ac:dyDescent="0.2">
      <c r="B106" s="38"/>
      <c r="C106" s="53"/>
      <c r="D106" s="53"/>
    </row>
    <row r="107" spans="2:4" s="25" customFormat="1" ht="12.95" customHeight="1" x14ac:dyDescent="0.2">
      <c r="B107" s="38"/>
      <c r="C107" s="53"/>
      <c r="D107" s="53"/>
    </row>
    <row r="108" spans="2:4" s="25" customFormat="1" ht="12.95" customHeight="1" x14ac:dyDescent="0.2">
      <c r="B108" s="38"/>
      <c r="C108" s="53"/>
      <c r="D108" s="53"/>
    </row>
    <row r="109" spans="2:4" s="25" customFormat="1" ht="12.95" customHeight="1" x14ac:dyDescent="0.2">
      <c r="B109" s="38"/>
      <c r="C109" s="53"/>
      <c r="D109" s="53"/>
    </row>
    <row r="110" spans="2:4" s="25" customFormat="1" ht="12.95" customHeight="1" x14ac:dyDescent="0.2">
      <c r="B110" s="38"/>
      <c r="C110" s="53"/>
      <c r="D110" s="53"/>
    </row>
    <row r="111" spans="2:4" s="25" customFormat="1" ht="12.95" customHeight="1" x14ac:dyDescent="0.2">
      <c r="B111" s="38"/>
      <c r="C111" s="53"/>
      <c r="D111" s="53"/>
    </row>
    <row r="112" spans="2:4" s="25" customFormat="1" ht="12.95" customHeight="1" x14ac:dyDescent="0.2">
      <c r="B112" s="38"/>
      <c r="C112" s="53"/>
      <c r="D112" s="53"/>
    </row>
    <row r="113" spans="2:4" s="25" customFormat="1" ht="12.95" customHeight="1" x14ac:dyDescent="0.2">
      <c r="B113" s="38"/>
      <c r="C113" s="53"/>
      <c r="D113" s="53"/>
    </row>
    <row r="114" spans="2:4" s="25" customFormat="1" ht="12.95" customHeight="1" x14ac:dyDescent="0.2">
      <c r="B114" s="38"/>
      <c r="C114" s="53"/>
      <c r="D114" s="53"/>
    </row>
    <row r="115" spans="2:4" s="25" customFormat="1" ht="12.95" customHeight="1" x14ac:dyDescent="0.2">
      <c r="B115" s="38"/>
      <c r="C115" s="53"/>
      <c r="D115" s="53"/>
    </row>
    <row r="116" spans="2:4" s="25" customFormat="1" ht="12.95" customHeight="1" x14ac:dyDescent="0.2">
      <c r="B116" s="38"/>
      <c r="C116" s="53"/>
      <c r="D116" s="53"/>
    </row>
    <row r="117" spans="2:4" s="25" customFormat="1" ht="12.95" customHeight="1" x14ac:dyDescent="0.2">
      <c r="B117" s="38"/>
      <c r="C117" s="53"/>
      <c r="D117" s="53"/>
    </row>
    <row r="118" spans="2:4" s="25" customFormat="1" ht="12.95" customHeight="1" x14ac:dyDescent="0.2">
      <c r="B118" s="38"/>
      <c r="C118" s="53"/>
      <c r="D118" s="53"/>
    </row>
    <row r="119" spans="2:4" s="25" customFormat="1" ht="12.95" customHeight="1" x14ac:dyDescent="0.2">
      <c r="C119" s="53"/>
      <c r="D119" s="53"/>
    </row>
    <row r="120" spans="2:4" s="25" customFormat="1" ht="12.95" customHeight="1" x14ac:dyDescent="0.2">
      <c r="C120" s="53"/>
      <c r="D120" s="53"/>
    </row>
    <row r="121" spans="2:4" s="25" customFormat="1" ht="12.95" customHeight="1" x14ac:dyDescent="0.2">
      <c r="C121" s="53"/>
      <c r="D121" s="53"/>
    </row>
    <row r="122" spans="2:4" s="25" customFormat="1" ht="12.95" customHeight="1" x14ac:dyDescent="0.2">
      <c r="C122" s="53"/>
      <c r="D122" s="53"/>
    </row>
    <row r="123" spans="2:4" s="25" customFormat="1" ht="12.95" customHeight="1" x14ac:dyDescent="0.2">
      <c r="C123" s="53"/>
      <c r="D123" s="53"/>
    </row>
    <row r="124" spans="2:4" s="25" customFormat="1" ht="12.95" customHeight="1" x14ac:dyDescent="0.2">
      <c r="C124" s="53"/>
      <c r="D124" s="53"/>
    </row>
    <row r="125" spans="2:4" s="25" customFormat="1" ht="12.95" customHeight="1" x14ac:dyDescent="0.2">
      <c r="C125" s="53"/>
      <c r="D125" s="53"/>
    </row>
    <row r="126" spans="2:4" s="25" customFormat="1" ht="12.95" customHeight="1" x14ac:dyDescent="0.2">
      <c r="C126" s="53"/>
      <c r="D126" s="53"/>
    </row>
    <row r="127" spans="2:4" s="25" customFormat="1" ht="12.95" customHeight="1" x14ac:dyDescent="0.2">
      <c r="C127" s="53"/>
      <c r="D127" s="53"/>
    </row>
    <row r="128" spans="2:4" s="25" customFormat="1" ht="12.95" customHeight="1" x14ac:dyDescent="0.2">
      <c r="C128" s="53"/>
      <c r="D128" s="53"/>
    </row>
    <row r="129" spans="3:4" s="25" customFormat="1" ht="12.95" customHeight="1" x14ac:dyDescent="0.2">
      <c r="C129" s="53"/>
      <c r="D129" s="53"/>
    </row>
    <row r="130" spans="3:4" s="25" customFormat="1" ht="12.95" customHeight="1" x14ac:dyDescent="0.2">
      <c r="C130" s="53"/>
      <c r="D130" s="53"/>
    </row>
    <row r="131" spans="3:4" s="25" customFormat="1" ht="12.95" customHeight="1" x14ac:dyDescent="0.2">
      <c r="C131" s="53"/>
      <c r="D131" s="53"/>
    </row>
    <row r="132" spans="3:4" s="25" customFormat="1" ht="12.95" customHeight="1" x14ac:dyDescent="0.2">
      <c r="C132" s="53"/>
      <c r="D132" s="53"/>
    </row>
    <row r="133" spans="3:4" s="25" customFormat="1" ht="12.95" customHeight="1" x14ac:dyDescent="0.2">
      <c r="C133" s="53"/>
      <c r="D133" s="53"/>
    </row>
    <row r="134" spans="3:4" s="25" customFormat="1" ht="12.95" customHeight="1" x14ac:dyDescent="0.2">
      <c r="C134" s="53"/>
      <c r="D134" s="53"/>
    </row>
    <row r="135" spans="3:4" s="25" customFormat="1" ht="12.95" customHeight="1" x14ac:dyDescent="0.2">
      <c r="C135" s="53"/>
      <c r="D135" s="53"/>
    </row>
    <row r="136" spans="3:4" s="25" customFormat="1" ht="12.95" customHeight="1" x14ac:dyDescent="0.2">
      <c r="C136" s="53"/>
      <c r="D136" s="53"/>
    </row>
    <row r="137" spans="3:4" s="25" customFormat="1" ht="12.95" customHeight="1" x14ac:dyDescent="0.2">
      <c r="C137" s="53"/>
      <c r="D137" s="53"/>
    </row>
    <row r="138" spans="3:4" s="25" customFormat="1" ht="12.95" customHeight="1" x14ac:dyDescent="0.2">
      <c r="C138" s="53"/>
      <c r="D138" s="53"/>
    </row>
    <row r="139" spans="3:4" s="25" customFormat="1" ht="12.95" customHeight="1" x14ac:dyDescent="0.2">
      <c r="C139" s="53"/>
      <c r="D139" s="53"/>
    </row>
    <row r="140" spans="3:4" s="25" customFormat="1" ht="12.95" customHeight="1" x14ac:dyDescent="0.2">
      <c r="C140" s="53"/>
      <c r="D140" s="53"/>
    </row>
    <row r="141" spans="3:4" s="25" customFormat="1" ht="12.95" customHeight="1" x14ac:dyDescent="0.2">
      <c r="C141" s="53"/>
      <c r="D141" s="53"/>
    </row>
    <row r="142" spans="3:4" s="25" customFormat="1" ht="12.95" customHeight="1" x14ac:dyDescent="0.2">
      <c r="C142" s="53"/>
      <c r="D142" s="53"/>
    </row>
    <row r="143" spans="3:4" s="25" customFormat="1" ht="12.95" customHeight="1" x14ac:dyDescent="0.2">
      <c r="C143" s="53"/>
      <c r="D143" s="53"/>
    </row>
    <row r="144" spans="3:4" s="25" customFormat="1" ht="12.95" customHeight="1" x14ac:dyDescent="0.2">
      <c r="C144" s="53"/>
      <c r="D144" s="53"/>
    </row>
    <row r="145" spans="3:4" s="25" customFormat="1" ht="12.95" customHeight="1" x14ac:dyDescent="0.2">
      <c r="C145" s="53"/>
      <c r="D145" s="53"/>
    </row>
    <row r="146" spans="3:4" s="25" customFormat="1" ht="12.95" customHeight="1" x14ac:dyDescent="0.2">
      <c r="C146" s="53"/>
      <c r="D146" s="53"/>
    </row>
    <row r="147" spans="3:4" s="25" customFormat="1" ht="12.95" customHeight="1" x14ac:dyDescent="0.2">
      <c r="C147" s="53"/>
      <c r="D147" s="53"/>
    </row>
    <row r="148" spans="3:4" s="25" customFormat="1" ht="12.95" customHeight="1" x14ac:dyDescent="0.2">
      <c r="C148" s="53"/>
      <c r="D148" s="53"/>
    </row>
    <row r="149" spans="3:4" s="25" customFormat="1" ht="12.95" customHeight="1" x14ac:dyDescent="0.2">
      <c r="C149" s="53"/>
      <c r="D149" s="53"/>
    </row>
    <row r="150" spans="3:4" s="25" customFormat="1" ht="12.95" customHeight="1" x14ac:dyDescent="0.2">
      <c r="C150" s="53"/>
      <c r="D150" s="53"/>
    </row>
    <row r="151" spans="3:4" s="25" customFormat="1" ht="12.95" customHeight="1" x14ac:dyDescent="0.2">
      <c r="C151" s="53"/>
      <c r="D151" s="53"/>
    </row>
    <row r="152" spans="3:4" s="25" customFormat="1" ht="12.95" customHeight="1" x14ac:dyDescent="0.2">
      <c r="C152" s="53"/>
      <c r="D152" s="53"/>
    </row>
    <row r="153" spans="3:4" s="25" customFormat="1" ht="12.95" customHeight="1" x14ac:dyDescent="0.2">
      <c r="C153" s="53"/>
      <c r="D153" s="53"/>
    </row>
    <row r="154" spans="3:4" s="25" customFormat="1" ht="12.95" customHeight="1" x14ac:dyDescent="0.2">
      <c r="C154" s="53"/>
      <c r="D154" s="53"/>
    </row>
    <row r="155" spans="3:4" s="25" customFormat="1" ht="12.95" customHeight="1" x14ac:dyDescent="0.2">
      <c r="C155" s="53"/>
      <c r="D155" s="53"/>
    </row>
    <row r="156" spans="3:4" s="25" customFormat="1" ht="12.95" customHeight="1" x14ac:dyDescent="0.2">
      <c r="C156" s="53"/>
      <c r="D156" s="53"/>
    </row>
    <row r="157" spans="3:4" s="25" customFormat="1" ht="12.95" customHeight="1" x14ac:dyDescent="0.2">
      <c r="C157" s="53"/>
      <c r="D157" s="53"/>
    </row>
    <row r="158" spans="3:4" s="25" customFormat="1" ht="12.95" customHeight="1" x14ac:dyDescent="0.2">
      <c r="C158" s="53"/>
      <c r="D158" s="53"/>
    </row>
    <row r="159" spans="3:4" s="25" customFormat="1" ht="12.95" customHeight="1" x14ac:dyDescent="0.2">
      <c r="C159" s="53"/>
      <c r="D159" s="53"/>
    </row>
    <row r="160" spans="3:4" s="25" customFormat="1" ht="12.95" customHeight="1" x14ac:dyDescent="0.2">
      <c r="C160" s="53"/>
      <c r="D160" s="53"/>
    </row>
    <row r="161" spans="3:4" s="25" customFormat="1" ht="12.95" customHeight="1" x14ac:dyDescent="0.2">
      <c r="C161" s="53"/>
      <c r="D161" s="53"/>
    </row>
    <row r="162" spans="3:4" s="25" customFormat="1" ht="12.95" customHeight="1" x14ac:dyDescent="0.2">
      <c r="C162" s="53"/>
      <c r="D162" s="53"/>
    </row>
    <row r="163" spans="3:4" s="25" customFormat="1" ht="12.95" customHeight="1" x14ac:dyDescent="0.2">
      <c r="C163" s="53"/>
      <c r="D163" s="53"/>
    </row>
    <row r="164" spans="3:4" s="25" customFormat="1" ht="12.95" customHeight="1" x14ac:dyDescent="0.2">
      <c r="C164" s="53"/>
      <c r="D164" s="53"/>
    </row>
    <row r="165" spans="3:4" s="25" customFormat="1" ht="12.95" customHeight="1" x14ac:dyDescent="0.2">
      <c r="C165" s="53"/>
      <c r="D165" s="53"/>
    </row>
    <row r="166" spans="3:4" s="25" customFormat="1" ht="12.95" customHeight="1" x14ac:dyDescent="0.2">
      <c r="C166" s="53"/>
      <c r="D166" s="53"/>
    </row>
    <row r="167" spans="3:4" s="25" customFormat="1" ht="12.95" customHeight="1" x14ac:dyDescent="0.2">
      <c r="C167" s="53"/>
      <c r="D167" s="53"/>
    </row>
    <row r="168" spans="3:4" s="25" customFormat="1" ht="12.95" customHeight="1" x14ac:dyDescent="0.2">
      <c r="C168" s="53"/>
      <c r="D168" s="53"/>
    </row>
    <row r="169" spans="3:4" s="25" customFormat="1" ht="12.95" customHeight="1" x14ac:dyDescent="0.2">
      <c r="C169" s="53"/>
      <c r="D169" s="53"/>
    </row>
    <row r="170" spans="3:4" s="25" customFormat="1" ht="12.95" customHeight="1" x14ac:dyDescent="0.2">
      <c r="C170" s="53"/>
      <c r="D170" s="53"/>
    </row>
    <row r="171" spans="3:4" s="25" customFormat="1" ht="12.95" customHeight="1" x14ac:dyDescent="0.2">
      <c r="C171" s="53"/>
      <c r="D171" s="53"/>
    </row>
    <row r="172" spans="3:4" s="25" customFormat="1" ht="12.95" customHeight="1" x14ac:dyDescent="0.2">
      <c r="C172" s="53"/>
      <c r="D172" s="53"/>
    </row>
    <row r="173" spans="3:4" s="25" customFormat="1" ht="12.95" customHeight="1" x14ac:dyDescent="0.2">
      <c r="C173" s="53"/>
      <c r="D173" s="53"/>
    </row>
    <row r="174" spans="3:4" s="25" customFormat="1" ht="12.95" customHeight="1" x14ac:dyDescent="0.2">
      <c r="C174" s="53"/>
      <c r="D174" s="53"/>
    </row>
    <row r="175" spans="3:4" s="25" customFormat="1" ht="12.95" customHeight="1" x14ac:dyDescent="0.2">
      <c r="C175" s="53"/>
      <c r="D175" s="53"/>
    </row>
    <row r="176" spans="3:4" s="25" customFormat="1" ht="12.95" customHeight="1" x14ac:dyDescent="0.2">
      <c r="C176" s="53"/>
      <c r="D176" s="53"/>
    </row>
    <row r="177" spans="3:4" s="25" customFormat="1" ht="12.95" customHeight="1" x14ac:dyDescent="0.2">
      <c r="C177" s="53"/>
      <c r="D177" s="53"/>
    </row>
    <row r="178" spans="3:4" s="25" customFormat="1" ht="12.95" customHeight="1" x14ac:dyDescent="0.2">
      <c r="C178" s="53"/>
      <c r="D178" s="53"/>
    </row>
    <row r="179" spans="3:4" s="25" customFormat="1" ht="12.95" customHeight="1" x14ac:dyDescent="0.2">
      <c r="C179" s="53"/>
      <c r="D179" s="53"/>
    </row>
    <row r="180" spans="3:4" s="25" customFormat="1" ht="12.95" customHeight="1" x14ac:dyDescent="0.2">
      <c r="C180" s="53"/>
      <c r="D180" s="53"/>
    </row>
    <row r="181" spans="3:4" s="25" customFormat="1" ht="12.95" customHeight="1" x14ac:dyDescent="0.2">
      <c r="C181" s="53"/>
      <c r="D181" s="53"/>
    </row>
    <row r="182" spans="3:4" s="25" customFormat="1" ht="12.95" customHeight="1" x14ac:dyDescent="0.2">
      <c r="C182" s="53"/>
      <c r="D182" s="53"/>
    </row>
    <row r="183" spans="3:4" s="25" customFormat="1" ht="12.95" customHeight="1" x14ac:dyDescent="0.2">
      <c r="C183" s="53"/>
      <c r="D183" s="53"/>
    </row>
    <row r="184" spans="3:4" s="25" customFormat="1" ht="12.95" customHeight="1" x14ac:dyDescent="0.2">
      <c r="C184" s="53"/>
      <c r="D184" s="53"/>
    </row>
    <row r="185" spans="3:4" s="25" customFormat="1" ht="12.95" customHeight="1" x14ac:dyDescent="0.2">
      <c r="C185" s="53"/>
      <c r="D185" s="53"/>
    </row>
    <row r="186" spans="3:4" s="25" customFormat="1" ht="12.95" customHeight="1" x14ac:dyDescent="0.2">
      <c r="C186" s="53"/>
      <c r="D186" s="53"/>
    </row>
    <row r="187" spans="3:4" s="25" customFormat="1" ht="12.95" customHeight="1" x14ac:dyDescent="0.2">
      <c r="C187" s="53"/>
      <c r="D187" s="53"/>
    </row>
    <row r="188" spans="3:4" s="25" customFormat="1" ht="12.95" customHeight="1" x14ac:dyDescent="0.2">
      <c r="C188" s="53"/>
      <c r="D188" s="53"/>
    </row>
    <row r="189" spans="3:4" s="25" customFormat="1" ht="12.95" customHeight="1" x14ac:dyDescent="0.2">
      <c r="C189" s="53"/>
      <c r="D189" s="53"/>
    </row>
    <row r="190" spans="3:4" s="25" customFormat="1" ht="12.95" customHeight="1" x14ac:dyDescent="0.2">
      <c r="C190" s="53"/>
      <c r="D190" s="53"/>
    </row>
    <row r="191" spans="3:4" s="25" customFormat="1" ht="12.95" customHeight="1" x14ac:dyDescent="0.2">
      <c r="C191" s="53"/>
      <c r="D191" s="53"/>
    </row>
    <row r="192" spans="3:4" s="25" customFormat="1" ht="12.95" customHeight="1" x14ac:dyDescent="0.2">
      <c r="C192" s="53"/>
      <c r="D192" s="53"/>
    </row>
    <row r="193" spans="3:4" s="25" customFormat="1" ht="12.95" customHeight="1" x14ac:dyDescent="0.2">
      <c r="C193" s="53"/>
      <c r="D193" s="53"/>
    </row>
    <row r="194" spans="3:4" s="25" customFormat="1" ht="12.95" customHeight="1" x14ac:dyDescent="0.2">
      <c r="C194" s="53"/>
      <c r="D194" s="53"/>
    </row>
    <row r="195" spans="3:4" s="25" customFormat="1" ht="12.95" customHeight="1" x14ac:dyDescent="0.2">
      <c r="C195" s="53"/>
      <c r="D195" s="53"/>
    </row>
    <row r="196" spans="3:4" s="25" customFormat="1" ht="12.95" customHeight="1" x14ac:dyDescent="0.2">
      <c r="C196" s="53"/>
      <c r="D196" s="53"/>
    </row>
    <row r="197" spans="3:4" s="25" customFormat="1" ht="12.95" customHeight="1" x14ac:dyDescent="0.2">
      <c r="C197" s="53"/>
      <c r="D197" s="53"/>
    </row>
    <row r="198" spans="3:4" s="25" customFormat="1" ht="12.95" customHeight="1" x14ac:dyDescent="0.2">
      <c r="C198" s="53"/>
      <c r="D198" s="53"/>
    </row>
    <row r="199" spans="3:4" s="25" customFormat="1" ht="12.95" customHeight="1" x14ac:dyDescent="0.2">
      <c r="C199" s="53"/>
      <c r="D199" s="53"/>
    </row>
    <row r="200" spans="3:4" s="25" customFormat="1" ht="12.95" customHeight="1" x14ac:dyDescent="0.2">
      <c r="C200" s="53"/>
      <c r="D200" s="53"/>
    </row>
    <row r="201" spans="3:4" s="25" customFormat="1" ht="12.95" customHeight="1" x14ac:dyDescent="0.2">
      <c r="C201" s="53"/>
      <c r="D201" s="53"/>
    </row>
    <row r="202" spans="3:4" s="25" customFormat="1" ht="12.95" customHeight="1" x14ac:dyDescent="0.2">
      <c r="C202" s="53"/>
      <c r="D202" s="53"/>
    </row>
    <row r="203" spans="3:4" s="25" customFormat="1" ht="12.95" customHeight="1" x14ac:dyDescent="0.2">
      <c r="C203" s="53"/>
      <c r="D203" s="53"/>
    </row>
    <row r="204" spans="3:4" s="25" customFormat="1" ht="12.95" customHeight="1" x14ac:dyDescent="0.2">
      <c r="C204" s="53"/>
      <c r="D204" s="53"/>
    </row>
    <row r="205" spans="3:4" s="25" customFormat="1" ht="12.95" customHeight="1" x14ac:dyDescent="0.2">
      <c r="C205" s="53"/>
      <c r="D205" s="53"/>
    </row>
    <row r="206" spans="3:4" s="25" customFormat="1" ht="12.95" customHeight="1" x14ac:dyDescent="0.2">
      <c r="C206" s="53"/>
      <c r="D206" s="53"/>
    </row>
    <row r="207" spans="3:4" s="25" customFormat="1" ht="12.95" customHeight="1" x14ac:dyDescent="0.2">
      <c r="C207" s="53"/>
      <c r="D207" s="53"/>
    </row>
    <row r="208" spans="3:4" s="25" customFormat="1" ht="12.95" customHeight="1" x14ac:dyDescent="0.2">
      <c r="C208" s="53"/>
      <c r="D208" s="53"/>
    </row>
    <row r="209" spans="3:4" s="25" customFormat="1" ht="12.95" customHeight="1" x14ac:dyDescent="0.2">
      <c r="C209" s="53"/>
      <c r="D209" s="53"/>
    </row>
    <row r="210" spans="3:4" s="25" customFormat="1" ht="12.95" customHeight="1" x14ac:dyDescent="0.2">
      <c r="C210" s="53"/>
      <c r="D210" s="53"/>
    </row>
    <row r="211" spans="3:4" s="25" customFormat="1" ht="12.95" customHeight="1" x14ac:dyDescent="0.2">
      <c r="C211" s="53"/>
      <c r="D211" s="53"/>
    </row>
    <row r="212" spans="3:4" s="25" customFormat="1" ht="12.95" customHeight="1" x14ac:dyDescent="0.2">
      <c r="C212" s="53"/>
      <c r="D212" s="53"/>
    </row>
    <row r="213" spans="3:4" s="25" customFormat="1" ht="12.95" customHeight="1" x14ac:dyDescent="0.2">
      <c r="C213" s="53"/>
      <c r="D213" s="53"/>
    </row>
    <row r="214" spans="3:4" s="25" customFormat="1" ht="12.95" customHeight="1" x14ac:dyDescent="0.2">
      <c r="C214" s="53"/>
      <c r="D214" s="5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</sheetData>
  <phoneticPr fontId="8" type="noConversion"/>
  <hyperlinks>
    <hyperlink ref="H1708" r:id="rId1" display="http://vsolj.cetus-net.org/bulletin.html"/>
    <hyperlink ref="H64913" r:id="rId2" display="http://vsolj.cetus-net.org/bulletin.html"/>
    <hyperlink ref="H64906" r:id="rId3" display="https://www.aavso.org/ejaavso"/>
    <hyperlink ref="AP1057" r:id="rId4" display="http://cdsbib.u-strasbg.fr/cgi-bin/cdsbib?1990RMxAA..21..381G"/>
    <hyperlink ref="AP1061" r:id="rId5" display="http://cdsbib.u-strasbg.fr/cgi-bin/cdsbib?1990RMxAA..21..381G"/>
    <hyperlink ref="AP1060" r:id="rId6" display="http://cdsbib.u-strasbg.fr/cgi-bin/cdsbib?1990RMxAA..21..381G"/>
    <hyperlink ref="AP1041" r:id="rId7" display="http://cdsbib.u-strasbg.fr/cgi-bin/cdsbib?1990RMxAA..21..381G"/>
    <hyperlink ref="I64913" r:id="rId8" display="http://vsolj.cetus-net.org/bulletin.html"/>
    <hyperlink ref="AQ1197" r:id="rId9" display="http://cdsbib.u-strasbg.fr/cgi-bin/cdsbib?1990RMxAA..21..381G"/>
    <hyperlink ref="AQ55963" r:id="rId10" display="http://cdsbib.u-strasbg.fr/cgi-bin/cdsbib?1990RMxAA..21..381G"/>
    <hyperlink ref="AQ1198" r:id="rId11" display="http://cdsbib.u-strasbg.fr/cgi-bin/cdsbib?1990RMxAA..21..381G"/>
    <hyperlink ref="H64910" r:id="rId12" display="https://www.aavso.org/ejaavso"/>
    <hyperlink ref="H2083" r:id="rId13" display="http://vsolj.cetus-net.org/bulletin.html"/>
    <hyperlink ref="AP3327" r:id="rId14" display="http://cdsbib.u-strasbg.fr/cgi-bin/cdsbib?1990RMxAA..21..381G"/>
    <hyperlink ref="AP3330" r:id="rId15" display="http://cdsbib.u-strasbg.fr/cgi-bin/cdsbib?1990RMxAA..21..381G"/>
    <hyperlink ref="AP3328" r:id="rId16" display="http://cdsbib.u-strasbg.fr/cgi-bin/cdsbib?1990RMxAA..21..381G"/>
    <hyperlink ref="AP3312" r:id="rId17" display="http://cdsbib.u-strasbg.fr/cgi-bin/cdsbib?1990RMxAA..21..381G"/>
    <hyperlink ref="I2083" r:id="rId18" display="http://vsolj.cetus-net.org/bulletin.html"/>
    <hyperlink ref="AQ3541" r:id="rId19" display="http://cdsbib.u-strasbg.fr/cgi-bin/cdsbib?1990RMxAA..21..381G"/>
    <hyperlink ref="AQ242" r:id="rId20" display="http://cdsbib.u-strasbg.fr/cgi-bin/cdsbib?1990RMxAA..21..381G"/>
    <hyperlink ref="AQ3545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7"/>
  <sheetViews>
    <sheetView topLeftCell="A17" workbookViewId="0">
      <selection activeCell="A43" sqref="A43:D66"/>
    </sheetView>
  </sheetViews>
  <sheetFormatPr defaultRowHeight="12.75" x14ac:dyDescent="0.2"/>
  <cols>
    <col min="1" max="1" width="19.7109375" style="10" customWidth="1"/>
    <col min="2" max="2" width="4.42578125" style="2" customWidth="1"/>
    <col min="3" max="3" width="12.7109375" style="10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0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9" t="s">
        <v>70</v>
      </c>
      <c r="I1" s="11" t="s">
        <v>71</v>
      </c>
      <c r="J1" s="12" t="s">
        <v>72</v>
      </c>
    </row>
    <row r="2" spans="1:16" x14ac:dyDescent="0.2">
      <c r="I2" s="13" t="s">
        <v>73</v>
      </c>
      <c r="J2" s="14" t="s">
        <v>74</v>
      </c>
    </row>
    <row r="3" spans="1:16" x14ac:dyDescent="0.2">
      <c r="A3" s="15" t="s">
        <v>75</v>
      </c>
      <c r="I3" s="13" t="s">
        <v>76</v>
      </c>
      <c r="J3" s="14" t="s">
        <v>77</v>
      </c>
    </row>
    <row r="4" spans="1:16" x14ac:dyDescent="0.2">
      <c r="I4" s="13" t="s">
        <v>78</v>
      </c>
      <c r="J4" s="14" t="s">
        <v>77</v>
      </c>
    </row>
    <row r="5" spans="1:16" ht="13.5" thickBot="1" x14ac:dyDescent="0.25">
      <c r="I5" s="16" t="s">
        <v>79</v>
      </c>
      <c r="J5" s="17" t="s">
        <v>80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87 </v>
      </c>
      <c r="B11" s="4" t="str">
        <f t="shared" ref="B11:B42" si="1">IF(H11=INT(H11),"I","II")</f>
        <v>I</v>
      </c>
      <c r="C11" s="10">
        <f t="shared" ref="C11:C42" si="2">1*G11</f>
        <v>47206.309000000001</v>
      </c>
      <c r="D11" s="2" t="str">
        <f t="shared" ref="D11:D42" si="3">VLOOKUP(F11,I$1:J$5,2,FALSE)</f>
        <v>vis</v>
      </c>
      <c r="E11" s="18">
        <f>VLOOKUP(C11,Active!C$21:E$966,3,FALSE)</f>
        <v>2572.0102184610187</v>
      </c>
      <c r="F11" s="4" t="s">
        <v>79</v>
      </c>
      <c r="G11" s="2" t="str">
        <f t="shared" ref="G11:G42" si="4">MID(I11,3,LEN(I11)-3)</f>
        <v>47206.309</v>
      </c>
      <c r="H11" s="10">
        <f t="shared" ref="H11:H42" si="5">1*K11</f>
        <v>-2478</v>
      </c>
      <c r="I11" s="19" t="s">
        <v>120</v>
      </c>
      <c r="J11" s="20" t="s">
        <v>121</v>
      </c>
      <c r="K11" s="19">
        <v>-2478</v>
      </c>
      <c r="L11" s="19" t="s">
        <v>122</v>
      </c>
      <c r="M11" s="20" t="s">
        <v>123</v>
      </c>
      <c r="N11" s="20"/>
      <c r="O11" s="21" t="s">
        <v>124</v>
      </c>
      <c r="P11" s="21" t="s">
        <v>125</v>
      </c>
    </row>
    <row r="12" spans="1:16" ht="12.75" customHeight="1" thickBot="1" x14ac:dyDescent="0.25">
      <c r="A12" s="10" t="str">
        <f t="shared" si="0"/>
        <v> BBS 88 </v>
      </c>
      <c r="B12" s="4" t="str">
        <f t="shared" si="1"/>
        <v>II</v>
      </c>
      <c r="C12" s="10">
        <f t="shared" si="2"/>
        <v>47233.430999999997</v>
      </c>
      <c r="D12" s="2" t="str">
        <f t="shared" si="3"/>
        <v>vis</v>
      </c>
      <c r="E12" s="18">
        <f>VLOOKUP(C12,Active!C$21:E$966,3,FALSE)</f>
        <v>2594.9815979956011</v>
      </c>
      <c r="F12" s="4" t="s">
        <v>79</v>
      </c>
      <c r="G12" s="2" t="str">
        <f t="shared" si="4"/>
        <v>47233.431</v>
      </c>
      <c r="H12" s="10">
        <f t="shared" si="5"/>
        <v>-2466.5</v>
      </c>
      <c r="I12" s="19" t="s">
        <v>126</v>
      </c>
      <c r="J12" s="20" t="s">
        <v>127</v>
      </c>
      <c r="K12" s="19">
        <v>-2466.5</v>
      </c>
      <c r="L12" s="19" t="s">
        <v>128</v>
      </c>
      <c r="M12" s="20" t="s">
        <v>123</v>
      </c>
      <c r="N12" s="20"/>
      <c r="O12" s="21" t="s">
        <v>124</v>
      </c>
      <c r="P12" s="21" t="s">
        <v>129</v>
      </c>
    </row>
    <row r="13" spans="1:16" ht="12.75" customHeight="1" thickBot="1" x14ac:dyDescent="0.25">
      <c r="A13" s="10" t="str">
        <f t="shared" si="0"/>
        <v> BBS 88 </v>
      </c>
      <c r="B13" s="4" t="str">
        <f t="shared" si="1"/>
        <v>I</v>
      </c>
      <c r="C13" s="10">
        <f t="shared" si="2"/>
        <v>47239.328999999998</v>
      </c>
      <c r="D13" s="2" t="str">
        <f t="shared" si="3"/>
        <v>vis</v>
      </c>
      <c r="E13" s="18">
        <f>VLOOKUP(C13,Active!C$21:E$966,3,FALSE)</f>
        <v>2599.9769964357979</v>
      </c>
      <c r="F13" s="4" t="s">
        <v>79</v>
      </c>
      <c r="G13" s="2" t="str">
        <f t="shared" si="4"/>
        <v>47239.329</v>
      </c>
      <c r="H13" s="10">
        <f t="shared" si="5"/>
        <v>-2464</v>
      </c>
      <c r="I13" s="19" t="s">
        <v>130</v>
      </c>
      <c r="J13" s="20" t="s">
        <v>131</v>
      </c>
      <c r="K13" s="19">
        <v>-2464</v>
      </c>
      <c r="L13" s="19" t="s">
        <v>132</v>
      </c>
      <c r="M13" s="20" t="s">
        <v>123</v>
      </c>
      <c r="N13" s="20"/>
      <c r="O13" s="21" t="s">
        <v>124</v>
      </c>
      <c r="P13" s="21" t="s">
        <v>129</v>
      </c>
    </row>
    <row r="14" spans="1:16" ht="12.75" customHeight="1" thickBot="1" x14ac:dyDescent="0.25">
      <c r="A14" s="10" t="str">
        <f t="shared" si="0"/>
        <v> BBS 91 </v>
      </c>
      <c r="B14" s="4" t="str">
        <f t="shared" si="1"/>
        <v>I</v>
      </c>
      <c r="C14" s="10">
        <f t="shared" si="2"/>
        <v>47529.457000000002</v>
      </c>
      <c r="D14" s="2" t="str">
        <f t="shared" si="3"/>
        <v>vis</v>
      </c>
      <c r="E14" s="18">
        <f>VLOOKUP(C14,Active!C$21:E$966,3,FALSE)</f>
        <v>2845.7052023796987</v>
      </c>
      <c r="F14" s="4" t="s">
        <v>79</v>
      </c>
      <c r="G14" s="2" t="str">
        <f t="shared" si="4"/>
        <v>47529.457</v>
      </c>
      <c r="H14" s="10">
        <f t="shared" si="5"/>
        <v>-2341</v>
      </c>
      <c r="I14" s="19" t="s">
        <v>133</v>
      </c>
      <c r="J14" s="20" t="s">
        <v>134</v>
      </c>
      <c r="K14" s="19">
        <v>-2341</v>
      </c>
      <c r="L14" s="19" t="s">
        <v>135</v>
      </c>
      <c r="M14" s="20" t="s">
        <v>123</v>
      </c>
      <c r="N14" s="20"/>
      <c r="O14" s="21" t="s">
        <v>124</v>
      </c>
      <c r="P14" s="21" t="s">
        <v>136</v>
      </c>
    </row>
    <row r="15" spans="1:16" ht="12.75" customHeight="1" thickBot="1" x14ac:dyDescent="0.25">
      <c r="A15" s="10" t="str">
        <f t="shared" si="0"/>
        <v> BBS 91 </v>
      </c>
      <c r="B15" s="4" t="str">
        <f t="shared" si="1"/>
        <v>I</v>
      </c>
      <c r="C15" s="10">
        <f t="shared" si="2"/>
        <v>47555.402000000002</v>
      </c>
      <c r="D15" s="2" t="str">
        <f t="shared" si="3"/>
        <v>vis</v>
      </c>
      <c r="E15" s="18">
        <f>VLOOKUP(C15,Active!C$21:E$966,3,FALSE)</f>
        <v>2867.6797043347474</v>
      </c>
      <c r="F15" s="4" t="s">
        <v>79</v>
      </c>
      <c r="G15" s="2" t="str">
        <f t="shared" si="4"/>
        <v>47555.402</v>
      </c>
      <c r="H15" s="10">
        <f t="shared" si="5"/>
        <v>-2330</v>
      </c>
      <c r="I15" s="19" t="s">
        <v>137</v>
      </c>
      <c r="J15" s="20" t="s">
        <v>138</v>
      </c>
      <c r="K15" s="19">
        <v>-2330</v>
      </c>
      <c r="L15" s="19" t="s">
        <v>139</v>
      </c>
      <c r="M15" s="20" t="s">
        <v>123</v>
      </c>
      <c r="N15" s="20"/>
      <c r="O15" s="21" t="s">
        <v>124</v>
      </c>
      <c r="P15" s="21" t="s">
        <v>136</v>
      </c>
    </row>
    <row r="16" spans="1:16" ht="12.75" customHeight="1" thickBot="1" x14ac:dyDescent="0.25">
      <c r="A16" s="10" t="str">
        <f t="shared" si="0"/>
        <v> BBS 91 </v>
      </c>
      <c r="B16" s="4" t="str">
        <f t="shared" si="1"/>
        <v>II</v>
      </c>
      <c r="C16" s="10">
        <f t="shared" si="2"/>
        <v>47566.345999999998</v>
      </c>
      <c r="D16" s="2" t="str">
        <f t="shared" si="3"/>
        <v>vis</v>
      </c>
      <c r="E16" s="18">
        <f>VLOOKUP(C16,Active!C$21:E$966,3,FALSE)</f>
        <v>2876.9488871983422</v>
      </c>
      <c r="F16" s="4" t="s">
        <v>79</v>
      </c>
      <c r="G16" s="2" t="str">
        <f t="shared" si="4"/>
        <v>47566.346</v>
      </c>
      <c r="H16" s="10">
        <f t="shared" si="5"/>
        <v>-2325.5</v>
      </c>
      <c r="I16" s="19" t="s">
        <v>140</v>
      </c>
      <c r="J16" s="20" t="s">
        <v>141</v>
      </c>
      <c r="K16" s="19">
        <v>-2325.5</v>
      </c>
      <c r="L16" s="19" t="s">
        <v>142</v>
      </c>
      <c r="M16" s="20" t="s">
        <v>123</v>
      </c>
      <c r="N16" s="20"/>
      <c r="O16" s="21" t="s">
        <v>124</v>
      </c>
      <c r="P16" s="21" t="s">
        <v>136</v>
      </c>
    </row>
    <row r="17" spans="1:16" ht="12.75" customHeight="1" thickBot="1" x14ac:dyDescent="0.25">
      <c r="A17" s="10" t="str">
        <f t="shared" si="0"/>
        <v> BBS 91 </v>
      </c>
      <c r="B17" s="4" t="str">
        <f t="shared" si="1"/>
        <v>I</v>
      </c>
      <c r="C17" s="10">
        <f t="shared" si="2"/>
        <v>47586.392</v>
      </c>
      <c r="D17" s="2" t="str">
        <f t="shared" si="3"/>
        <v>vis</v>
      </c>
      <c r="E17" s="18">
        <f>VLOOKUP(C17,Active!C$21:E$966,3,FALSE)</f>
        <v>2893.9271437483885</v>
      </c>
      <c r="F17" s="4" t="s">
        <v>79</v>
      </c>
      <c r="G17" s="2" t="str">
        <f t="shared" si="4"/>
        <v>47586.392</v>
      </c>
      <c r="H17" s="10">
        <f t="shared" si="5"/>
        <v>-2317</v>
      </c>
      <c r="I17" s="19" t="s">
        <v>143</v>
      </c>
      <c r="J17" s="20" t="s">
        <v>144</v>
      </c>
      <c r="K17" s="19">
        <v>-2317</v>
      </c>
      <c r="L17" s="19" t="s">
        <v>89</v>
      </c>
      <c r="M17" s="20" t="s">
        <v>123</v>
      </c>
      <c r="N17" s="20"/>
      <c r="O17" s="21" t="s">
        <v>124</v>
      </c>
      <c r="P17" s="21" t="s">
        <v>136</v>
      </c>
    </row>
    <row r="18" spans="1:16" ht="12.75" customHeight="1" thickBot="1" x14ac:dyDescent="0.25">
      <c r="A18" s="10" t="str">
        <f t="shared" si="0"/>
        <v> BBS 91 </v>
      </c>
      <c r="B18" s="4" t="str">
        <f t="shared" si="1"/>
        <v>II</v>
      </c>
      <c r="C18" s="10">
        <f t="shared" si="2"/>
        <v>47592.296000000002</v>
      </c>
      <c r="D18" s="2" t="str">
        <f t="shared" si="3"/>
        <v>vis</v>
      </c>
      <c r="E18" s="18">
        <f>VLOOKUP(C18,Active!C$21:E$966,3,FALSE)</f>
        <v>2898.9276239774367</v>
      </c>
      <c r="F18" s="4" t="s">
        <v>79</v>
      </c>
      <c r="G18" s="2" t="str">
        <f t="shared" si="4"/>
        <v>47592.296</v>
      </c>
      <c r="H18" s="10">
        <f t="shared" si="5"/>
        <v>-2314.5</v>
      </c>
      <c r="I18" s="19" t="s">
        <v>145</v>
      </c>
      <c r="J18" s="20" t="s">
        <v>146</v>
      </c>
      <c r="K18" s="19">
        <v>-2314.5</v>
      </c>
      <c r="L18" s="19" t="s">
        <v>92</v>
      </c>
      <c r="M18" s="20" t="s">
        <v>123</v>
      </c>
      <c r="N18" s="20"/>
      <c r="O18" s="21" t="s">
        <v>124</v>
      </c>
      <c r="P18" s="21" t="s">
        <v>136</v>
      </c>
    </row>
    <row r="19" spans="1:16" ht="12.75" customHeight="1" thickBot="1" x14ac:dyDescent="0.25">
      <c r="A19" s="10" t="str">
        <f t="shared" si="0"/>
        <v> BBS 91 </v>
      </c>
      <c r="B19" s="4" t="str">
        <f t="shared" si="1"/>
        <v>I</v>
      </c>
      <c r="C19" s="10">
        <f t="shared" si="2"/>
        <v>47612.351000000002</v>
      </c>
      <c r="D19" s="2" t="str">
        <f t="shared" si="3"/>
        <v>vis</v>
      </c>
      <c r="E19" s="18">
        <f>VLOOKUP(C19,Active!C$21:E$966,3,FALSE)</f>
        <v>2915.9135032107579</v>
      </c>
      <c r="F19" s="4" t="s">
        <v>79</v>
      </c>
      <c r="G19" s="2" t="str">
        <f t="shared" si="4"/>
        <v>47612.351</v>
      </c>
      <c r="H19" s="10">
        <f t="shared" si="5"/>
        <v>-2306</v>
      </c>
      <c r="I19" s="19" t="s">
        <v>147</v>
      </c>
      <c r="J19" s="20" t="s">
        <v>148</v>
      </c>
      <c r="K19" s="19">
        <v>-2306</v>
      </c>
      <c r="L19" s="19" t="s">
        <v>149</v>
      </c>
      <c r="M19" s="20" t="s">
        <v>123</v>
      </c>
      <c r="N19" s="20"/>
      <c r="O19" s="21" t="s">
        <v>124</v>
      </c>
      <c r="P19" s="21" t="s">
        <v>136</v>
      </c>
    </row>
    <row r="20" spans="1:16" ht="12.75" customHeight="1" thickBot="1" x14ac:dyDescent="0.25">
      <c r="A20" s="10" t="str">
        <f t="shared" si="0"/>
        <v> BBS 91 </v>
      </c>
      <c r="B20" s="4" t="str">
        <f t="shared" si="1"/>
        <v>I</v>
      </c>
      <c r="C20" s="10">
        <f t="shared" si="2"/>
        <v>47612.39</v>
      </c>
      <c r="D20" s="2" t="str">
        <f t="shared" si="3"/>
        <v>vis</v>
      </c>
      <c r="E20" s="18">
        <f>VLOOKUP(C20,Active!C$21:E$966,3,FALSE)</f>
        <v>2915.9465348382846</v>
      </c>
      <c r="F20" s="4" t="s">
        <v>79</v>
      </c>
      <c r="G20" s="2" t="str">
        <f t="shared" si="4"/>
        <v>47612.39</v>
      </c>
      <c r="H20" s="10">
        <f t="shared" si="5"/>
        <v>-2306</v>
      </c>
      <c r="I20" s="19" t="s">
        <v>150</v>
      </c>
      <c r="J20" s="20" t="s">
        <v>151</v>
      </c>
      <c r="K20" s="19">
        <v>-2306</v>
      </c>
      <c r="L20" s="19" t="s">
        <v>152</v>
      </c>
      <c r="M20" s="20" t="s">
        <v>123</v>
      </c>
      <c r="N20" s="20"/>
      <c r="O20" s="21" t="s">
        <v>153</v>
      </c>
      <c r="P20" s="21" t="s">
        <v>136</v>
      </c>
    </row>
    <row r="21" spans="1:16" ht="12.75" customHeight="1" thickBot="1" x14ac:dyDescent="0.25">
      <c r="A21" s="10" t="str">
        <f t="shared" si="0"/>
        <v> BBS 94 </v>
      </c>
      <c r="B21" s="4" t="str">
        <f t="shared" si="1"/>
        <v>II</v>
      </c>
      <c r="C21" s="10">
        <f t="shared" si="2"/>
        <v>47925.285000000003</v>
      </c>
      <c r="D21" s="2" t="str">
        <f t="shared" si="3"/>
        <v>vis</v>
      </c>
      <c r="E21" s="18">
        <f>VLOOKUP(C21,Active!C$21:E$966,3,FALSE)</f>
        <v>3180.9575885760032</v>
      </c>
      <c r="F21" s="4" t="s">
        <v>79</v>
      </c>
      <c r="G21" s="2" t="str">
        <f t="shared" si="4"/>
        <v>47925.285</v>
      </c>
      <c r="H21" s="10">
        <f t="shared" si="5"/>
        <v>-2173.5</v>
      </c>
      <c r="I21" s="19" t="s">
        <v>154</v>
      </c>
      <c r="J21" s="20" t="s">
        <v>155</v>
      </c>
      <c r="K21" s="19">
        <v>-2173.5</v>
      </c>
      <c r="L21" s="19" t="s">
        <v>156</v>
      </c>
      <c r="M21" s="20" t="s">
        <v>123</v>
      </c>
      <c r="N21" s="20"/>
      <c r="O21" s="21" t="s">
        <v>124</v>
      </c>
      <c r="P21" s="21" t="s">
        <v>157</v>
      </c>
    </row>
    <row r="22" spans="1:16" ht="12.75" customHeight="1" thickBot="1" x14ac:dyDescent="0.25">
      <c r="A22" s="10" t="str">
        <f t="shared" si="0"/>
        <v> BBS 94 </v>
      </c>
      <c r="B22" s="4" t="str">
        <f t="shared" si="1"/>
        <v>II</v>
      </c>
      <c r="C22" s="10">
        <f t="shared" si="2"/>
        <v>47932.317999999999</v>
      </c>
      <c r="D22" s="2" t="str">
        <f t="shared" si="3"/>
        <v>vis</v>
      </c>
      <c r="E22" s="18">
        <f>VLOOKUP(C22,Active!C$21:E$966,3,FALSE)</f>
        <v>3186.9142920737777</v>
      </c>
      <c r="F22" s="4" t="s">
        <v>79</v>
      </c>
      <c r="G22" s="2" t="str">
        <f t="shared" si="4"/>
        <v>47932.318</v>
      </c>
      <c r="H22" s="10">
        <f t="shared" si="5"/>
        <v>-2170.5</v>
      </c>
      <c r="I22" s="19" t="s">
        <v>158</v>
      </c>
      <c r="J22" s="20" t="s">
        <v>159</v>
      </c>
      <c r="K22" s="19">
        <v>-2170.5</v>
      </c>
      <c r="L22" s="19" t="s">
        <v>160</v>
      </c>
      <c r="M22" s="20" t="s">
        <v>123</v>
      </c>
      <c r="N22" s="20"/>
      <c r="O22" s="21" t="s">
        <v>124</v>
      </c>
      <c r="P22" s="21" t="s">
        <v>157</v>
      </c>
    </row>
    <row r="23" spans="1:16" ht="12.75" customHeight="1" thickBot="1" x14ac:dyDescent="0.25">
      <c r="A23" s="10" t="str">
        <f t="shared" si="0"/>
        <v> BBS 94 </v>
      </c>
      <c r="B23" s="4" t="str">
        <f t="shared" si="1"/>
        <v>II</v>
      </c>
      <c r="C23" s="10">
        <f t="shared" si="2"/>
        <v>47939.356</v>
      </c>
      <c r="D23" s="2" t="str">
        <f t="shared" si="3"/>
        <v>vis</v>
      </c>
      <c r="E23" s="18">
        <f>VLOOKUP(C23,Active!C$21:E$966,3,FALSE)</f>
        <v>3192.8752303955989</v>
      </c>
      <c r="F23" s="4" t="s">
        <v>79</v>
      </c>
      <c r="G23" s="2" t="str">
        <f t="shared" si="4"/>
        <v>47939.356</v>
      </c>
      <c r="H23" s="10">
        <f t="shared" si="5"/>
        <v>-2167.5</v>
      </c>
      <c r="I23" s="19" t="s">
        <v>161</v>
      </c>
      <c r="J23" s="20" t="s">
        <v>162</v>
      </c>
      <c r="K23" s="19">
        <v>-2167.5</v>
      </c>
      <c r="L23" s="19" t="s">
        <v>163</v>
      </c>
      <c r="M23" s="20" t="s">
        <v>123</v>
      </c>
      <c r="N23" s="20"/>
      <c r="O23" s="21" t="s">
        <v>124</v>
      </c>
      <c r="P23" s="21" t="s">
        <v>157</v>
      </c>
    </row>
    <row r="24" spans="1:16" ht="12.75" customHeight="1" thickBot="1" x14ac:dyDescent="0.25">
      <c r="A24" s="10" t="str">
        <f t="shared" si="0"/>
        <v> BBS 94 </v>
      </c>
      <c r="B24" s="4" t="str">
        <f t="shared" si="1"/>
        <v>I</v>
      </c>
      <c r="C24" s="10">
        <f t="shared" si="2"/>
        <v>47945.326000000001</v>
      </c>
      <c r="D24" s="2" t="str">
        <f t="shared" si="3"/>
        <v>vis</v>
      </c>
      <c r="E24" s="18">
        <f>VLOOKUP(C24,Active!C$21:E$966,3,FALSE)</f>
        <v>3197.9316103020033</v>
      </c>
      <c r="F24" s="4" t="s">
        <v>79</v>
      </c>
      <c r="G24" s="2" t="str">
        <f t="shared" si="4"/>
        <v>47945.326</v>
      </c>
      <c r="H24" s="10">
        <f t="shared" si="5"/>
        <v>-2165</v>
      </c>
      <c r="I24" s="19" t="s">
        <v>164</v>
      </c>
      <c r="J24" s="20" t="s">
        <v>165</v>
      </c>
      <c r="K24" s="19">
        <v>-2165</v>
      </c>
      <c r="L24" s="19" t="s">
        <v>166</v>
      </c>
      <c r="M24" s="20" t="s">
        <v>123</v>
      </c>
      <c r="N24" s="20"/>
      <c r="O24" s="21" t="s">
        <v>124</v>
      </c>
      <c r="P24" s="21" t="s">
        <v>157</v>
      </c>
    </row>
    <row r="25" spans="1:16" ht="12.75" customHeight="1" thickBot="1" x14ac:dyDescent="0.25">
      <c r="A25" s="10" t="str">
        <f t="shared" si="0"/>
        <v> BBS 94 </v>
      </c>
      <c r="B25" s="4" t="str">
        <f t="shared" si="1"/>
        <v>II</v>
      </c>
      <c r="C25" s="10">
        <f t="shared" si="2"/>
        <v>47958.300999999999</v>
      </c>
      <c r="D25" s="2" t="str">
        <f t="shared" si="3"/>
        <v>vis</v>
      </c>
      <c r="E25" s="18">
        <f>VLOOKUP(C25,Active!C$21:E$966,3,FALSE)</f>
        <v>3208.9209786915476</v>
      </c>
      <c r="F25" s="4" t="s">
        <v>79</v>
      </c>
      <c r="G25" s="2" t="str">
        <f t="shared" si="4"/>
        <v>47958.301</v>
      </c>
      <c r="H25" s="10">
        <f t="shared" si="5"/>
        <v>-2159.5</v>
      </c>
      <c r="I25" s="19" t="s">
        <v>167</v>
      </c>
      <c r="J25" s="20" t="s">
        <v>168</v>
      </c>
      <c r="K25" s="19">
        <v>-2159.5</v>
      </c>
      <c r="L25" s="19" t="s">
        <v>169</v>
      </c>
      <c r="M25" s="20" t="s">
        <v>123</v>
      </c>
      <c r="N25" s="20"/>
      <c r="O25" s="21" t="s">
        <v>124</v>
      </c>
      <c r="P25" s="21" t="s">
        <v>157</v>
      </c>
    </row>
    <row r="26" spans="1:16" ht="12.75" customHeight="1" thickBot="1" x14ac:dyDescent="0.25">
      <c r="A26" s="10" t="str">
        <f t="shared" si="0"/>
        <v> BBS 97 </v>
      </c>
      <c r="B26" s="4" t="str">
        <f t="shared" si="1"/>
        <v>I</v>
      </c>
      <c r="C26" s="10">
        <f t="shared" si="2"/>
        <v>48266.47</v>
      </c>
      <c r="D26" s="2" t="str">
        <f t="shared" si="3"/>
        <v>vis</v>
      </c>
      <c r="E26" s="18">
        <f>VLOOKUP(C26,Active!C$21:E$966,3,FALSE)</f>
        <v>3469.9292767445631</v>
      </c>
      <c r="F26" s="4" t="s">
        <v>79</v>
      </c>
      <c r="G26" s="2" t="str">
        <f t="shared" si="4"/>
        <v>48266.470</v>
      </c>
      <c r="H26" s="10">
        <f t="shared" si="5"/>
        <v>-2029</v>
      </c>
      <c r="I26" s="19" t="s">
        <v>170</v>
      </c>
      <c r="J26" s="20" t="s">
        <v>171</v>
      </c>
      <c r="K26" s="19">
        <v>-2029</v>
      </c>
      <c r="L26" s="19" t="s">
        <v>172</v>
      </c>
      <c r="M26" s="20" t="s">
        <v>173</v>
      </c>
      <c r="N26" s="20" t="s">
        <v>174</v>
      </c>
      <c r="O26" s="21" t="s">
        <v>153</v>
      </c>
      <c r="P26" s="21" t="s">
        <v>175</v>
      </c>
    </row>
    <row r="27" spans="1:16" ht="12.75" customHeight="1" thickBot="1" x14ac:dyDescent="0.25">
      <c r="A27" s="10" t="str">
        <f t="shared" si="0"/>
        <v> BBS 98 </v>
      </c>
      <c r="B27" s="4" t="str">
        <f t="shared" si="1"/>
        <v>II</v>
      </c>
      <c r="C27" s="10">
        <f t="shared" si="2"/>
        <v>48305.446000000004</v>
      </c>
      <c r="D27" s="2" t="str">
        <f t="shared" si="3"/>
        <v>vis</v>
      </c>
      <c r="E27" s="18">
        <f>VLOOKUP(C27,Active!C$21:E$966,3,FALSE)</f>
        <v>3502.9405771184324</v>
      </c>
      <c r="F27" s="4" t="s">
        <v>79</v>
      </c>
      <c r="G27" s="2" t="str">
        <f t="shared" si="4"/>
        <v>48305.446</v>
      </c>
      <c r="H27" s="10">
        <f t="shared" si="5"/>
        <v>-2012.5</v>
      </c>
      <c r="I27" s="19" t="s">
        <v>176</v>
      </c>
      <c r="J27" s="20" t="s">
        <v>177</v>
      </c>
      <c r="K27" s="19">
        <v>-2012.5</v>
      </c>
      <c r="L27" s="19" t="s">
        <v>178</v>
      </c>
      <c r="M27" s="20" t="s">
        <v>123</v>
      </c>
      <c r="N27" s="20"/>
      <c r="O27" s="21" t="s">
        <v>179</v>
      </c>
      <c r="P27" s="21" t="s">
        <v>180</v>
      </c>
    </row>
    <row r="28" spans="1:16" ht="12.75" customHeight="1" thickBot="1" x14ac:dyDescent="0.25">
      <c r="A28" s="10" t="str">
        <f t="shared" si="0"/>
        <v> BBS 97 </v>
      </c>
      <c r="B28" s="4" t="str">
        <f t="shared" si="1"/>
        <v>II</v>
      </c>
      <c r="C28" s="10">
        <f t="shared" si="2"/>
        <v>48331.387000000002</v>
      </c>
      <c r="D28" s="2" t="str">
        <f t="shared" si="3"/>
        <v>vis</v>
      </c>
      <c r="E28" s="18">
        <f>VLOOKUP(C28,Active!C$21:E$966,3,FALSE)</f>
        <v>3524.9116912142467</v>
      </c>
      <c r="F28" s="4" t="s">
        <v>79</v>
      </c>
      <c r="G28" s="2" t="str">
        <f t="shared" si="4"/>
        <v>48331.387</v>
      </c>
      <c r="H28" s="10">
        <f t="shared" si="5"/>
        <v>-2001.5</v>
      </c>
      <c r="I28" s="19" t="s">
        <v>181</v>
      </c>
      <c r="J28" s="20" t="s">
        <v>182</v>
      </c>
      <c r="K28" s="19">
        <v>-2001.5</v>
      </c>
      <c r="L28" s="19" t="s">
        <v>160</v>
      </c>
      <c r="M28" s="20" t="s">
        <v>123</v>
      </c>
      <c r="N28" s="20"/>
      <c r="O28" s="21" t="s">
        <v>124</v>
      </c>
      <c r="P28" s="21" t="s">
        <v>175</v>
      </c>
    </row>
    <row r="29" spans="1:16" ht="12.75" customHeight="1" thickBot="1" x14ac:dyDescent="0.25">
      <c r="A29" s="10" t="str">
        <f t="shared" si="0"/>
        <v> BBS 100 </v>
      </c>
      <c r="B29" s="4" t="str">
        <f t="shared" si="1"/>
        <v>I</v>
      </c>
      <c r="C29" s="10">
        <f t="shared" si="2"/>
        <v>48651.351999999999</v>
      </c>
      <c r="D29" s="2" t="str">
        <f t="shared" si="3"/>
        <v>vis</v>
      </c>
      <c r="E29" s="18">
        <f>VLOOKUP(C29,Active!C$21:E$966,3,FALSE)</f>
        <v>3795.9107861476496</v>
      </c>
      <c r="F29" s="4" t="s">
        <v>79</v>
      </c>
      <c r="G29" s="2" t="str">
        <f t="shared" si="4"/>
        <v>48651.352</v>
      </c>
      <c r="H29" s="10">
        <f t="shared" si="5"/>
        <v>-1866</v>
      </c>
      <c r="I29" s="19" t="s">
        <v>183</v>
      </c>
      <c r="J29" s="20" t="s">
        <v>184</v>
      </c>
      <c r="K29" s="19">
        <v>-1866</v>
      </c>
      <c r="L29" s="19" t="s">
        <v>185</v>
      </c>
      <c r="M29" s="20" t="s">
        <v>123</v>
      </c>
      <c r="N29" s="20"/>
      <c r="O29" s="21" t="s">
        <v>124</v>
      </c>
      <c r="P29" s="21" t="s">
        <v>186</v>
      </c>
    </row>
    <row r="30" spans="1:16" ht="12.75" customHeight="1" thickBot="1" x14ac:dyDescent="0.25">
      <c r="A30" s="10" t="str">
        <f t="shared" si="0"/>
        <v> BBS 100 </v>
      </c>
      <c r="B30" s="4" t="str">
        <f t="shared" si="1"/>
        <v>I</v>
      </c>
      <c r="C30" s="10">
        <f t="shared" si="2"/>
        <v>48677.355000000003</v>
      </c>
      <c r="D30" s="2" t="str">
        <f t="shared" si="3"/>
        <v>vis</v>
      </c>
      <c r="E30" s="18">
        <f>VLOOKUP(C30,Active!C$21:E$966,3,FALSE)</f>
        <v>3817.9344120615915</v>
      </c>
      <c r="F30" s="4" t="s">
        <v>79</v>
      </c>
      <c r="G30" s="2" t="str">
        <f t="shared" si="4"/>
        <v>48677.355</v>
      </c>
      <c r="H30" s="10">
        <f t="shared" si="5"/>
        <v>-1855</v>
      </c>
      <c r="I30" s="19" t="s">
        <v>187</v>
      </c>
      <c r="J30" s="20" t="s">
        <v>188</v>
      </c>
      <c r="K30" s="19">
        <v>-1855</v>
      </c>
      <c r="L30" s="19" t="s">
        <v>189</v>
      </c>
      <c r="M30" s="20" t="s">
        <v>123</v>
      </c>
      <c r="N30" s="20"/>
      <c r="O30" s="21" t="s">
        <v>124</v>
      </c>
      <c r="P30" s="21" t="s">
        <v>186</v>
      </c>
    </row>
    <row r="31" spans="1:16" ht="12.75" customHeight="1" thickBot="1" x14ac:dyDescent="0.25">
      <c r="A31" s="10" t="str">
        <f t="shared" si="0"/>
        <v> BBS 110 </v>
      </c>
      <c r="B31" s="4" t="str">
        <f t="shared" si="1"/>
        <v>I</v>
      </c>
      <c r="C31" s="10">
        <f t="shared" si="2"/>
        <v>49704.53</v>
      </c>
      <c r="D31" s="2" t="str">
        <f t="shared" si="3"/>
        <v>vis</v>
      </c>
      <c r="E31" s="18">
        <f>VLOOKUP(C31,Active!C$21:E$966,3,FALSE)</f>
        <v>4687.9154891738381</v>
      </c>
      <c r="F31" s="4" t="s">
        <v>79</v>
      </c>
      <c r="G31" s="2" t="str">
        <f t="shared" si="4"/>
        <v>49704.530</v>
      </c>
      <c r="H31" s="10">
        <f t="shared" si="5"/>
        <v>-1420</v>
      </c>
      <c r="I31" s="19" t="s">
        <v>190</v>
      </c>
      <c r="J31" s="20" t="s">
        <v>191</v>
      </c>
      <c r="K31" s="19">
        <v>-1420</v>
      </c>
      <c r="L31" s="19" t="s">
        <v>92</v>
      </c>
      <c r="M31" s="20" t="s">
        <v>173</v>
      </c>
      <c r="N31" s="20" t="s">
        <v>174</v>
      </c>
      <c r="O31" s="21" t="s">
        <v>153</v>
      </c>
      <c r="P31" s="21" t="s">
        <v>192</v>
      </c>
    </row>
    <row r="32" spans="1:16" ht="12.75" customHeight="1" thickBot="1" x14ac:dyDescent="0.25">
      <c r="A32" s="10" t="str">
        <f t="shared" si="0"/>
        <v> BBS 118 </v>
      </c>
      <c r="B32" s="4" t="str">
        <f t="shared" si="1"/>
        <v>II</v>
      </c>
      <c r="C32" s="10">
        <f t="shared" si="2"/>
        <v>50789.587</v>
      </c>
      <c r="D32" s="2" t="str">
        <f t="shared" si="3"/>
        <v>vis</v>
      </c>
      <c r="E32" s="18">
        <f>VLOOKUP(C32,Active!C$21:E$966,3,FALSE)</f>
        <v>5606.920583328375</v>
      </c>
      <c r="F32" s="4" t="s">
        <v>79</v>
      </c>
      <c r="G32" s="2" t="str">
        <f t="shared" si="4"/>
        <v>50789.587</v>
      </c>
      <c r="H32" s="10">
        <f t="shared" si="5"/>
        <v>-960.5</v>
      </c>
      <c r="I32" s="19" t="s">
        <v>193</v>
      </c>
      <c r="J32" s="20" t="s">
        <v>194</v>
      </c>
      <c r="K32" s="19">
        <v>-960.5</v>
      </c>
      <c r="L32" s="19" t="s">
        <v>195</v>
      </c>
      <c r="M32" s="20" t="s">
        <v>173</v>
      </c>
      <c r="N32" s="20" t="s">
        <v>174</v>
      </c>
      <c r="O32" s="21" t="s">
        <v>153</v>
      </c>
      <c r="P32" s="21" t="s">
        <v>196</v>
      </c>
    </row>
    <row r="33" spans="1:16" ht="12.75" customHeight="1" thickBot="1" x14ac:dyDescent="0.25">
      <c r="A33" s="10" t="str">
        <f t="shared" si="0"/>
        <v>IBVS 5583 </v>
      </c>
      <c r="B33" s="4" t="str">
        <f t="shared" si="1"/>
        <v>II</v>
      </c>
      <c r="C33" s="10">
        <f t="shared" si="2"/>
        <v>52683.395900000003</v>
      </c>
      <c r="D33" s="2" t="str">
        <f t="shared" si="3"/>
        <v>vis</v>
      </c>
      <c r="E33" s="18">
        <f>VLOOKUP(C33,Active!C$21:E$966,3,FALSE)</f>
        <v>7210.9100755441787</v>
      </c>
      <c r="F33" s="4" t="s">
        <v>79</v>
      </c>
      <c r="G33" s="2" t="str">
        <f t="shared" si="4"/>
        <v>52683.3959</v>
      </c>
      <c r="H33" s="10">
        <f t="shared" si="5"/>
        <v>-158.5</v>
      </c>
      <c r="I33" s="19" t="s">
        <v>197</v>
      </c>
      <c r="J33" s="20" t="s">
        <v>198</v>
      </c>
      <c r="K33" s="19">
        <v>-158.5</v>
      </c>
      <c r="L33" s="19" t="s">
        <v>199</v>
      </c>
      <c r="M33" s="20" t="s">
        <v>173</v>
      </c>
      <c r="N33" s="20" t="s">
        <v>174</v>
      </c>
      <c r="O33" s="21" t="s">
        <v>200</v>
      </c>
      <c r="P33" s="22" t="s">
        <v>201</v>
      </c>
    </row>
    <row r="34" spans="1:16" ht="12.75" customHeight="1" thickBot="1" x14ac:dyDescent="0.25">
      <c r="A34" s="10" t="str">
        <f t="shared" si="0"/>
        <v>BAVM 178 </v>
      </c>
      <c r="B34" s="4" t="str">
        <f t="shared" si="1"/>
        <v>I</v>
      </c>
      <c r="C34" s="10">
        <f t="shared" si="2"/>
        <v>53768.432099999998</v>
      </c>
      <c r="D34" s="2" t="str">
        <f t="shared" si="3"/>
        <v>vis</v>
      </c>
      <c r="E34" s="18">
        <f>VLOOKUP(C34,Active!C$21:E$966,3,FALSE)</f>
        <v>8129.8975528306955</v>
      </c>
      <c r="F34" s="4" t="s">
        <v>79</v>
      </c>
      <c r="G34" s="2" t="str">
        <f t="shared" si="4"/>
        <v>53768.4321</v>
      </c>
      <c r="H34" s="10">
        <f t="shared" si="5"/>
        <v>301</v>
      </c>
      <c r="I34" s="19" t="s">
        <v>202</v>
      </c>
      <c r="J34" s="20" t="s">
        <v>203</v>
      </c>
      <c r="K34" s="19">
        <v>301</v>
      </c>
      <c r="L34" s="19" t="s">
        <v>204</v>
      </c>
      <c r="M34" s="20" t="s">
        <v>205</v>
      </c>
      <c r="N34" s="20" t="s">
        <v>206</v>
      </c>
      <c r="O34" s="21" t="s">
        <v>207</v>
      </c>
      <c r="P34" s="22" t="s">
        <v>208</v>
      </c>
    </row>
    <row r="35" spans="1:16" ht="12.75" customHeight="1" thickBot="1" x14ac:dyDescent="0.25">
      <c r="A35" s="10" t="str">
        <f t="shared" si="0"/>
        <v>OEJV 0074 </v>
      </c>
      <c r="B35" s="4" t="str">
        <f t="shared" si="1"/>
        <v>II</v>
      </c>
      <c r="C35" s="10">
        <f t="shared" si="2"/>
        <v>53833.37141</v>
      </c>
      <c r="D35" s="2" t="str">
        <f t="shared" si="3"/>
        <v>vis</v>
      </c>
      <c r="E35" s="18">
        <f>VLOOKUP(C35,Active!C$21:E$966,3,FALSE)</f>
        <v>8184.8988630852555</v>
      </c>
      <c r="F35" s="4" t="s">
        <v>79</v>
      </c>
      <c r="G35" s="2" t="str">
        <f t="shared" si="4"/>
        <v>53833.37141</v>
      </c>
      <c r="H35" s="10">
        <f t="shared" si="5"/>
        <v>328.5</v>
      </c>
      <c r="I35" s="19" t="s">
        <v>209</v>
      </c>
      <c r="J35" s="20" t="s">
        <v>210</v>
      </c>
      <c r="K35" s="19" t="s">
        <v>211</v>
      </c>
      <c r="L35" s="19" t="s">
        <v>212</v>
      </c>
      <c r="M35" s="20" t="s">
        <v>205</v>
      </c>
      <c r="N35" s="20" t="s">
        <v>45</v>
      </c>
      <c r="O35" s="21" t="s">
        <v>213</v>
      </c>
      <c r="P35" s="22" t="s">
        <v>214</v>
      </c>
    </row>
    <row r="36" spans="1:16" ht="12.75" customHeight="1" thickBot="1" x14ac:dyDescent="0.25">
      <c r="A36" s="10" t="str">
        <f t="shared" si="0"/>
        <v>BAVM 186 </v>
      </c>
      <c r="B36" s="4" t="str">
        <f t="shared" si="1"/>
        <v>I</v>
      </c>
      <c r="C36" s="10">
        <f t="shared" si="2"/>
        <v>54153.330900000001</v>
      </c>
      <c r="D36" s="2" t="str">
        <f t="shared" si="3"/>
        <v>vis</v>
      </c>
      <c r="E36" s="18">
        <f>VLOOKUP(C36,Active!C$21:E$966,3,FALSE)</f>
        <v>8455.893291242568</v>
      </c>
      <c r="F36" s="4" t="s">
        <v>79</v>
      </c>
      <c r="G36" s="2" t="str">
        <f t="shared" si="4"/>
        <v>54153.3309</v>
      </c>
      <c r="H36" s="10">
        <f t="shared" si="5"/>
        <v>464</v>
      </c>
      <c r="I36" s="19" t="s">
        <v>215</v>
      </c>
      <c r="J36" s="20" t="s">
        <v>216</v>
      </c>
      <c r="K36" s="19" t="s">
        <v>217</v>
      </c>
      <c r="L36" s="19" t="s">
        <v>218</v>
      </c>
      <c r="M36" s="20" t="s">
        <v>205</v>
      </c>
      <c r="N36" s="20">
        <v>0</v>
      </c>
      <c r="O36" s="21" t="s">
        <v>207</v>
      </c>
      <c r="P36" s="22" t="s">
        <v>219</v>
      </c>
    </row>
    <row r="37" spans="1:16" ht="12.75" customHeight="1" thickBot="1" x14ac:dyDescent="0.25">
      <c r="A37" s="10" t="str">
        <f t="shared" si="0"/>
        <v>OEJV 0074 </v>
      </c>
      <c r="B37" s="4" t="str">
        <f t="shared" si="1"/>
        <v>II</v>
      </c>
      <c r="C37" s="10">
        <f t="shared" si="2"/>
        <v>54192.294430000002</v>
      </c>
      <c r="D37" s="2" t="str">
        <f t="shared" si="3"/>
        <v>vis</v>
      </c>
      <c r="E37" s="18">
        <f>VLOOKUP(C37,Active!C$21:E$966,3,FALSE)</f>
        <v>8488.894029965275</v>
      </c>
      <c r="F37" s="4" t="s">
        <v>79</v>
      </c>
      <c r="G37" s="2" t="str">
        <f t="shared" si="4"/>
        <v>54192.29443</v>
      </c>
      <c r="H37" s="10">
        <f t="shared" si="5"/>
        <v>480.5</v>
      </c>
      <c r="I37" s="19" t="s">
        <v>220</v>
      </c>
      <c r="J37" s="20" t="s">
        <v>221</v>
      </c>
      <c r="K37" s="19">
        <v>480.5</v>
      </c>
      <c r="L37" s="19" t="s">
        <v>222</v>
      </c>
      <c r="M37" s="20" t="s">
        <v>205</v>
      </c>
      <c r="N37" s="20" t="s">
        <v>223</v>
      </c>
      <c r="O37" s="21" t="s">
        <v>213</v>
      </c>
      <c r="P37" s="22" t="s">
        <v>214</v>
      </c>
    </row>
    <row r="38" spans="1:16" ht="12.75" customHeight="1" thickBot="1" x14ac:dyDescent="0.25">
      <c r="A38" s="10" t="str">
        <f t="shared" si="0"/>
        <v>IBVS 5938 </v>
      </c>
      <c r="B38" s="4" t="str">
        <f t="shared" si="1"/>
        <v>I</v>
      </c>
      <c r="C38" s="10">
        <f t="shared" si="2"/>
        <v>54868.833899999998</v>
      </c>
      <c r="D38" s="2" t="str">
        <f t="shared" si="3"/>
        <v>vis</v>
      </c>
      <c r="E38" s="18">
        <f>VLOOKUP(C38,Active!C$21:E$966,3,FALSE)</f>
        <v>9061.8991525778256</v>
      </c>
      <c r="F38" s="4" t="s">
        <v>79</v>
      </c>
      <c r="G38" s="2" t="str">
        <f t="shared" si="4"/>
        <v>54868.8339</v>
      </c>
      <c r="H38" s="10">
        <f t="shared" si="5"/>
        <v>767</v>
      </c>
      <c r="I38" s="19" t="s">
        <v>237</v>
      </c>
      <c r="J38" s="20" t="s">
        <v>238</v>
      </c>
      <c r="K38" s="19">
        <v>767</v>
      </c>
      <c r="L38" s="19" t="s">
        <v>239</v>
      </c>
      <c r="M38" s="20" t="s">
        <v>205</v>
      </c>
      <c r="N38" s="20" t="s">
        <v>79</v>
      </c>
      <c r="O38" s="21" t="s">
        <v>240</v>
      </c>
      <c r="P38" s="22" t="s">
        <v>241</v>
      </c>
    </row>
    <row r="39" spans="1:16" ht="12.75" customHeight="1" thickBot="1" x14ac:dyDescent="0.25">
      <c r="A39" s="10" t="str">
        <f t="shared" si="0"/>
        <v>BAVM 220 </v>
      </c>
      <c r="B39" s="4" t="str">
        <f t="shared" si="1"/>
        <v>I</v>
      </c>
      <c r="C39" s="10">
        <f t="shared" si="2"/>
        <v>55244.271500000003</v>
      </c>
      <c r="D39" s="2" t="str">
        <f t="shared" si="3"/>
        <v>vis</v>
      </c>
      <c r="E39" s="18">
        <f>VLOOKUP(C39,Active!C$21:E$966,3,FALSE)</f>
        <v>9379.8815875440596</v>
      </c>
      <c r="F39" s="4" t="s">
        <v>79</v>
      </c>
      <c r="G39" s="2" t="str">
        <f t="shared" si="4"/>
        <v>55244.2715</v>
      </c>
      <c r="H39" s="10">
        <f t="shared" si="5"/>
        <v>926</v>
      </c>
      <c r="I39" s="19" t="s">
        <v>251</v>
      </c>
      <c r="J39" s="20" t="s">
        <v>252</v>
      </c>
      <c r="K39" s="19">
        <v>926</v>
      </c>
      <c r="L39" s="19" t="s">
        <v>253</v>
      </c>
      <c r="M39" s="20" t="s">
        <v>205</v>
      </c>
      <c r="N39" s="23" t="s">
        <v>206</v>
      </c>
      <c r="O39" s="21" t="s">
        <v>254</v>
      </c>
      <c r="P39" s="22" t="s">
        <v>255</v>
      </c>
    </row>
    <row r="40" spans="1:16" ht="12.75" customHeight="1" thickBot="1" x14ac:dyDescent="0.25">
      <c r="A40" s="10" t="str">
        <f t="shared" si="0"/>
        <v>IBVS 5992 </v>
      </c>
      <c r="B40" s="4" t="str">
        <f t="shared" si="1"/>
        <v>I</v>
      </c>
      <c r="C40" s="10">
        <f t="shared" si="2"/>
        <v>55638.616000000002</v>
      </c>
      <c r="D40" s="2" t="str">
        <f t="shared" si="3"/>
        <v>vis</v>
      </c>
      <c r="E40" s="18">
        <f>VLOOKUP(C40,Active!C$21:E$966,3,FALSE)</f>
        <v>9713.8775014470375</v>
      </c>
      <c r="F40" s="4" t="s">
        <v>79</v>
      </c>
      <c r="G40" s="2" t="str">
        <f t="shared" si="4"/>
        <v>55638.616</v>
      </c>
      <c r="H40" s="10">
        <f t="shared" si="5"/>
        <v>1093</v>
      </c>
      <c r="I40" s="19" t="s">
        <v>266</v>
      </c>
      <c r="J40" s="20" t="s">
        <v>267</v>
      </c>
      <c r="K40" s="19">
        <v>1093</v>
      </c>
      <c r="L40" s="19" t="s">
        <v>268</v>
      </c>
      <c r="M40" s="20" t="s">
        <v>205</v>
      </c>
      <c r="N40" s="20" t="s">
        <v>79</v>
      </c>
      <c r="O40" s="21" t="s">
        <v>269</v>
      </c>
      <c r="P40" s="22" t="s">
        <v>270</v>
      </c>
    </row>
    <row r="41" spans="1:16" ht="12.75" customHeight="1" thickBot="1" x14ac:dyDescent="0.25">
      <c r="A41" s="10" t="str">
        <f t="shared" si="0"/>
        <v>IBVS 6007 </v>
      </c>
      <c r="B41" s="4" t="str">
        <f t="shared" si="1"/>
        <v>II</v>
      </c>
      <c r="C41" s="10">
        <f t="shared" si="2"/>
        <v>55873.570090000001</v>
      </c>
      <c r="D41" s="2" t="str">
        <f t="shared" si="3"/>
        <v>vis</v>
      </c>
      <c r="E41" s="18">
        <f>VLOOKUP(C41,Active!C$21:E$966,3,FALSE)</f>
        <v>9912.8753472767439</v>
      </c>
      <c r="F41" s="4" t="s">
        <v>79</v>
      </c>
      <c r="G41" s="2" t="str">
        <f t="shared" si="4"/>
        <v>55873.57009</v>
      </c>
      <c r="H41" s="10">
        <f t="shared" si="5"/>
        <v>1192.5</v>
      </c>
      <c r="I41" s="19" t="s">
        <v>271</v>
      </c>
      <c r="J41" s="20" t="s">
        <v>272</v>
      </c>
      <c r="K41" s="19">
        <v>1192.5</v>
      </c>
      <c r="L41" s="19" t="s">
        <v>273</v>
      </c>
      <c r="M41" s="20" t="s">
        <v>205</v>
      </c>
      <c r="N41" s="20" t="s">
        <v>223</v>
      </c>
      <c r="O41" s="21" t="s">
        <v>274</v>
      </c>
      <c r="P41" s="22" t="s">
        <v>275</v>
      </c>
    </row>
    <row r="42" spans="1:16" ht="12.75" customHeight="1" thickBot="1" x14ac:dyDescent="0.25">
      <c r="A42" s="10" t="str">
        <f t="shared" si="0"/>
        <v>BAVM 239 </v>
      </c>
      <c r="B42" s="4" t="str">
        <f t="shared" si="1"/>
        <v>I</v>
      </c>
      <c r="C42" s="10">
        <f t="shared" si="2"/>
        <v>57074.331200000001</v>
      </c>
      <c r="D42" s="2" t="str">
        <f t="shared" si="3"/>
        <v>vis</v>
      </c>
      <c r="E42" s="18">
        <f>VLOOKUP(C42,Active!C$21:E$966,3,FALSE)</f>
        <v>10929.877750793476</v>
      </c>
      <c r="F42" s="4" t="s">
        <v>79</v>
      </c>
      <c r="G42" s="2" t="str">
        <f t="shared" si="4"/>
        <v>57074.3312</v>
      </c>
      <c r="H42" s="10">
        <f t="shared" si="5"/>
        <v>1701</v>
      </c>
      <c r="I42" s="19" t="s">
        <v>289</v>
      </c>
      <c r="J42" s="20" t="s">
        <v>290</v>
      </c>
      <c r="K42" s="19">
        <v>1701</v>
      </c>
      <c r="L42" s="19" t="s">
        <v>204</v>
      </c>
      <c r="M42" s="20" t="s">
        <v>205</v>
      </c>
      <c r="N42" s="23" t="s">
        <v>206</v>
      </c>
      <c r="O42" s="21" t="s">
        <v>207</v>
      </c>
      <c r="P42" s="22" t="s">
        <v>291</v>
      </c>
    </row>
    <row r="43" spans="1:16" ht="12.75" customHeight="1" thickBot="1" x14ac:dyDescent="0.25">
      <c r="A43" s="10" t="str">
        <f t="shared" ref="A43:A66" si="6">P43</f>
        <v> MHAR 16.13 </v>
      </c>
      <c r="B43" s="4" t="str">
        <f t="shared" ref="B43:B66" si="7">IF(H43=INT(H43),"I","II")</f>
        <v>I</v>
      </c>
      <c r="C43" s="10">
        <f t="shared" ref="C43:C66" si="8">1*G43</f>
        <v>33687.430999999997</v>
      </c>
      <c r="D43" s="2" t="str">
        <f t="shared" ref="D43:D66" si="9">VLOOKUP(F43,I$1:J$5,2,FALSE)</f>
        <v>vis</v>
      </c>
      <c r="E43" s="18">
        <f>VLOOKUP(C43,Active!C$21:E$966,3,FALSE)</f>
        <v>-8878.0036971707868</v>
      </c>
      <c r="F43" s="4" t="s">
        <v>79</v>
      </c>
      <c r="G43" s="2" t="str">
        <f t="shared" ref="G43:G66" si="10">MID(I43,3,LEN(I43)-3)</f>
        <v>33687.431</v>
      </c>
      <c r="H43" s="10">
        <f t="shared" ref="H43:H66" si="11">1*K43</f>
        <v>-8203</v>
      </c>
      <c r="I43" s="19" t="s">
        <v>81</v>
      </c>
      <c r="J43" s="20" t="s">
        <v>82</v>
      </c>
      <c r="K43" s="19">
        <v>-8203</v>
      </c>
      <c r="L43" s="19" t="s">
        <v>83</v>
      </c>
      <c r="M43" s="20" t="s">
        <v>84</v>
      </c>
      <c r="N43" s="20"/>
      <c r="O43" s="21" t="s">
        <v>85</v>
      </c>
      <c r="P43" s="21" t="s">
        <v>86</v>
      </c>
    </row>
    <row r="44" spans="1:16" ht="12.75" customHeight="1" thickBot="1" x14ac:dyDescent="0.25">
      <c r="A44" s="10" t="str">
        <f t="shared" si="6"/>
        <v> MHAR 16.13 </v>
      </c>
      <c r="B44" s="4" t="str">
        <f t="shared" si="7"/>
        <v>II</v>
      </c>
      <c r="C44" s="10">
        <f t="shared" si="8"/>
        <v>35419.502999999997</v>
      </c>
      <c r="D44" s="2" t="str">
        <f t="shared" si="9"/>
        <v>vis</v>
      </c>
      <c r="E44" s="18">
        <f>VLOOKUP(C44,Active!C$21:E$966,3,FALSE)</f>
        <v>-7410.9996674816211</v>
      </c>
      <c r="F44" s="4" t="s">
        <v>79</v>
      </c>
      <c r="G44" s="2" t="str">
        <f t="shared" si="10"/>
        <v>35419.503</v>
      </c>
      <c r="H44" s="10">
        <f t="shared" si="11"/>
        <v>-7469.5</v>
      </c>
      <c r="I44" s="19" t="s">
        <v>87</v>
      </c>
      <c r="J44" s="20" t="s">
        <v>88</v>
      </c>
      <c r="K44" s="19">
        <v>-7469.5</v>
      </c>
      <c r="L44" s="19" t="s">
        <v>89</v>
      </c>
      <c r="M44" s="20" t="s">
        <v>84</v>
      </c>
      <c r="N44" s="20"/>
      <c r="O44" s="21" t="s">
        <v>85</v>
      </c>
      <c r="P44" s="21" t="s">
        <v>86</v>
      </c>
    </row>
    <row r="45" spans="1:16" ht="12.75" customHeight="1" thickBot="1" x14ac:dyDescent="0.25">
      <c r="A45" s="10" t="str">
        <f t="shared" si="6"/>
        <v> MHAR 16.13 </v>
      </c>
      <c r="B45" s="4" t="str">
        <f t="shared" si="7"/>
        <v>I</v>
      </c>
      <c r="C45" s="10">
        <f t="shared" si="8"/>
        <v>36627.337</v>
      </c>
      <c r="D45" s="2" t="str">
        <f t="shared" si="9"/>
        <v>vis</v>
      </c>
      <c r="E45" s="18">
        <f>VLOOKUP(C45,Active!C$21:E$966,3,FALSE)</f>
        <v>-6388.0067750408989</v>
      </c>
      <c r="F45" s="4" t="s">
        <v>79</v>
      </c>
      <c r="G45" s="2" t="str">
        <f t="shared" si="10"/>
        <v>36627.337</v>
      </c>
      <c r="H45" s="10">
        <f t="shared" si="11"/>
        <v>-6958</v>
      </c>
      <c r="I45" s="19" t="s">
        <v>90</v>
      </c>
      <c r="J45" s="20" t="s">
        <v>91</v>
      </c>
      <c r="K45" s="19">
        <v>-6958</v>
      </c>
      <c r="L45" s="19" t="s">
        <v>92</v>
      </c>
      <c r="M45" s="20" t="s">
        <v>84</v>
      </c>
      <c r="N45" s="20"/>
      <c r="O45" s="21" t="s">
        <v>85</v>
      </c>
      <c r="P45" s="21" t="s">
        <v>86</v>
      </c>
    </row>
    <row r="46" spans="1:16" ht="12.75" customHeight="1" thickBot="1" x14ac:dyDescent="0.25">
      <c r="A46" s="10" t="str">
        <f t="shared" si="6"/>
        <v> MHAR 16.13 </v>
      </c>
      <c r="B46" s="4" t="str">
        <f t="shared" si="7"/>
        <v>II</v>
      </c>
      <c r="C46" s="10">
        <f t="shared" si="8"/>
        <v>37705.313000000002</v>
      </c>
      <c r="D46" s="2" t="str">
        <f t="shared" si="9"/>
        <v>vis</v>
      </c>
      <c r="E46" s="18">
        <f>VLOOKUP(C46,Active!C$21:E$966,3,FALSE)</f>
        <v>-5474.9990386949439</v>
      </c>
      <c r="F46" s="4" t="s">
        <v>79</v>
      </c>
      <c r="G46" s="2" t="str">
        <f t="shared" si="10"/>
        <v>37705.313</v>
      </c>
      <c r="H46" s="10">
        <f t="shared" si="11"/>
        <v>-6501.5</v>
      </c>
      <c r="I46" s="19" t="s">
        <v>93</v>
      </c>
      <c r="J46" s="20" t="s">
        <v>94</v>
      </c>
      <c r="K46" s="19">
        <v>-6501.5</v>
      </c>
      <c r="L46" s="19" t="s">
        <v>95</v>
      </c>
      <c r="M46" s="20" t="s">
        <v>84</v>
      </c>
      <c r="N46" s="20"/>
      <c r="O46" s="21" t="s">
        <v>85</v>
      </c>
      <c r="P46" s="21" t="s">
        <v>86</v>
      </c>
    </row>
    <row r="47" spans="1:16" ht="12.75" customHeight="1" thickBot="1" x14ac:dyDescent="0.25">
      <c r="A47" s="10" t="str">
        <f t="shared" si="6"/>
        <v> MHAR 16.13 </v>
      </c>
      <c r="B47" s="4" t="str">
        <f t="shared" si="7"/>
        <v>I</v>
      </c>
      <c r="C47" s="10">
        <f t="shared" si="8"/>
        <v>38331.633999999998</v>
      </c>
      <c r="D47" s="2" t="str">
        <f t="shared" si="9"/>
        <v>vis</v>
      </c>
      <c r="E47" s="18">
        <f>VLOOKUP(C47,Active!C$21:E$966,3,FALSE)</f>
        <v>-4944.5271929062337</v>
      </c>
      <c r="F47" s="4" t="s">
        <v>79</v>
      </c>
      <c r="G47" s="2" t="str">
        <f t="shared" si="10"/>
        <v>38331.634</v>
      </c>
      <c r="H47" s="10">
        <f t="shared" si="11"/>
        <v>-6236</v>
      </c>
      <c r="I47" s="19" t="s">
        <v>96</v>
      </c>
      <c r="J47" s="20" t="s">
        <v>97</v>
      </c>
      <c r="K47" s="19">
        <v>-6236</v>
      </c>
      <c r="L47" s="19" t="s">
        <v>98</v>
      </c>
      <c r="M47" s="20" t="s">
        <v>84</v>
      </c>
      <c r="N47" s="20"/>
      <c r="O47" s="21" t="s">
        <v>85</v>
      </c>
      <c r="P47" s="21" t="s">
        <v>86</v>
      </c>
    </row>
    <row r="48" spans="1:16" ht="12.75" customHeight="1" thickBot="1" x14ac:dyDescent="0.25">
      <c r="A48" s="10" t="str">
        <f t="shared" si="6"/>
        <v> MHAR 16.13 </v>
      </c>
      <c r="B48" s="4" t="str">
        <f t="shared" si="7"/>
        <v>II</v>
      </c>
      <c r="C48" s="10">
        <f t="shared" si="8"/>
        <v>38496.372000000003</v>
      </c>
      <c r="D48" s="2" t="str">
        <f t="shared" si="9"/>
        <v>vis</v>
      </c>
      <c r="E48" s="18">
        <f>VLOOKUP(C48,Active!C$21:E$966,3,FALSE)</f>
        <v>-4804.9999042929767</v>
      </c>
      <c r="F48" s="4" t="s">
        <v>79</v>
      </c>
      <c r="G48" s="2" t="str">
        <f t="shared" si="10"/>
        <v>38496.372</v>
      </c>
      <c r="H48" s="10">
        <f t="shared" si="11"/>
        <v>-6166.5</v>
      </c>
      <c r="I48" s="19" t="s">
        <v>99</v>
      </c>
      <c r="J48" s="20" t="s">
        <v>100</v>
      </c>
      <c r="K48" s="19">
        <v>-6166.5</v>
      </c>
      <c r="L48" s="19" t="s">
        <v>101</v>
      </c>
      <c r="M48" s="20" t="s">
        <v>84</v>
      </c>
      <c r="N48" s="20"/>
      <c r="O48" s="21" t="s">
        <v>85</v>
      </c>
      <c r="P48" s="21" t="s">
        <v>86</v>
      </c>
    </row>
    <row r="49" spans="1:16" ht="12.75" customHeight="1" thickBot="1" x14ac:dyDescent="0.25">
      <c r="A49" s="10" t="str">
        <f t="shared" si="6"/>
        <v> MHAR 16.13 </v>
      </c>
      <c r="B49" s="4" t="str">
        <f t="shared" si="7"/>
        <v>I</v>
      </c>
      <c r="C49" s="10">
        <f t="shared" si="8"/>
        <v>38849.406999999999</v>
      </c>
      <c r="D49" s="2" t="str">
        <f t="shared" si="9"/>
        <v>vis</v>
      </c>
      <c r="E49" s="18">
        <f>VLOOKUP(C49,Active!C$21:E$966,3,FALSE)</f>
        <v>-4505.9916831443707</v>
      </c>
      <c r="F49" s="4" t="s">
        <v>79</v>
      </c>
      <c r="G49" s="2" t="str">
        <f t="shared" si="10"/>
        <v>38849.407</v>
      </c>
      <c r="H49" s="10">
        <f t="shared" si="11"/>
        <v>-6017</v>
      </c>
      <c r="I49" s="19" t="s">
        <v>102</v>
      </c>
      <c r="J49" s="20" t="s">
        <v>103</v>
      </c>
      <c r="K49" s="19">
        <v>-6017</v>
      </c>
      <c r="L49" s="19" t="s">
        <v>104</v>
      </c>
      <c r="M49" s="20" t="s">
        <v>84</v>
      </c>
      <c r="N49" s="20"/>
      <c r="O49" s="21" t="s">
        <v>85</v>
      </c>
      <c r="P49" s="21" t="s">
        <v>86</v>
      </c>
    </row>
    <row r="50" spans="1:16" ht="12.75" customHeight="1" thickBot="1" x14ac:dyDescent="0.25">
      <c r="A50" s="10" t="str">
        <f t="shared" si="6"/>
        <v> MHAR 16.13 </v>
      </c>
      <c r="B50" s="4" t="str">
        <f t="shared" si="7"/>
        <v>I</v>
      </c>
      <c r="C50" s="10">
        <f t="shared" si="8"/>
        <v>39940.355000000003</v>
      </c>
      <c r="D50" s="2" t="str">
        <f t="shared" si="9"/>
        <v>vis</v>
      </c>
      <c r="E50" s="18">
        <f>VLOOKUP(C50,Active!C$21:E$966,3,FALSE)</f>
        <v>-3581.9971193032939</v>
      </c>
      <c r="F50" s="4" t="s">
        <v>79</v>
      </c>
      <c r="G50" s="2" t="str">
        <f t="shared" si="10"/>
        <v>39940.355</v>
      </c>
      <c r="H50" s="10">
        <f t="shared" si="11"/>
        <v>-5555</v>
      </c>
      <c r="I50" s="19" t="s">
        <v>105</v>
      </c>
      <c r="J50" s="20" t="s">
        <v>106</v>
      </c>
      <c r="K50" s="19">
        <v>-5555</v>
      </c>
      <c r="L50" s="19" t="s">
        <v>107</v>
      </c>
      <c r="M50" s="20" t="s">
        <v>84</v>
      </c>
      <c r="N50" s="20"/>
      <c r="O50" s="21" t="s">
        <v>85</v>
      </c>
      <c r="P50" s="21" t="s">
        <v>86</v>
      </c>
    </row>
    <row r="51" spans="1:16" ht="12.75" customHeight="1" thickBot="1" x14ac:dyDescent="0.25">
      <c r="A51" s="10" t="str">
        <f t="shared" si="6"/>
        <v> MHAR 16.13 </v>
      </c>
      <c r="B51" s="4" t="str">
        <f t="shared" si="7"/>
        <v>I</v>
      </c>
      <c r="C51" s="10">
        <f t="shared" si="8"/>
        <v>41248.557999999997</v>
      </c>
      <c r="D51" s="2" t="str">
        <f t="shared" si="9"/>
        <v>vis</v>
      </c>
      <c r="E51" s="18">
        <f>VLOOKUP(C51,Active!C$21:E$966,3,FALSE)</f>
        <v>-2473.9952160039811</v>
      </c>
      <c r="F51" s="4" t="s">
        <v>79</v>
      </c>
      <c r="G51" s="2" t="str">
        <f t="shared" si="10"/>
        <v>41248.558</v>
      </c>
      <c r="H51" s="10">
        <f t="shared" si="11"/>
        <v>-5001</v>
      </c>
      <c r="I51" s="19" t="s">
        <v>108</v>
      </c>
      <c r="J51" s="20" t="s">
        <v>109</v>
      </c>
      <c r="K51" s="19">
        <v>-5001</v>
      </c>
      <c r="L51" s="19" t="s">
        <v>110</v>
      </c>
      <c r="M51" s="20" t="s">
        <v>84</v>
      </c>
      <c r="N51" s="20"/>
      <c r="O51" s="21" t="s">
        <v>85</v>
      </c>
      <c r="P51" s="21" t="s">
        <v>86</v>
      </c>
    </row>
    <row r="52" spans="1:16" ht="12.75" customHeight="1" thickBot="1" x14ac:dyDescent="0.25">
      <c r="A52" s="10" t="str">
        <f t="shared" si="6"/>
        <v> MHAR 16.13 </v>
      </c>
      <c r="B52" s="4" t="str">
        <f t="shared" si="7"/>
        <v>II</v>
      </c>
      <c r="C52" s="10">
        <f t="shared" si="8"/>
        <v>41351.275000000001</v>
      </c>
      <c r="D52" s="2" t="str">
        <f t="shared" si="9"/>
        <v>vis</v>
      </c>
      <c r="E52" s="18">
        <f>VLOOKUP(C52,Active!C$21:E$966,3,FALSE)</f>
        <v>-2386.9975317751569</v>
      </c>
      <c r="F52" s="4" t="s">
        <v>79</v>
      </c>
      <c r="G52" s="2" t="str">
        <f t="shared" si="10"/>
        <v>41351.275</v>
      </c>
      <c r="H52" s="10">
        <f t="shared" si="11"/>
        <v>-4957.5</v>
      </c>
      <c r="I52" s="19" t="s">
        <v>111</v>
      </c>
      <c r="J52" s="20" t="s">
        <v>112</v>
      </c>
      <c r="K52" s="19">
        <v>-4957.5</v>
      </c>
      <c r="L52" s="19" t="s">
        <v>113</v>
      </c>
      <c r="M52" s="20" t="s">
        <v>84</v>
      </c>
      <c r="N52" s="20"/>
      <c r="O52" s="21" t="s">
        <v>85</v>
      </c>
      <c r="P52" s="21" t="s">
        <v>86</v>
      </c>
    </row>
    <row r="53" spans="1:16" ht="12.75" customHeight="1" thickBot="1" x14ac:dyDescent="0.25">
      <c r="A53" s="10" t="str">
        <f t="shared" si="6"/>
        <v> MHAR 16.13 </v>
      </c>
      <c r="B53" s="4" t="str">
        <f t="shared" si="7"/>
        <v>II</v>
      </c>
      <c r="C53" s="10">
        <f t="shared" si="8"/>
        <v>41601.563000000002</v>
      </c>
      <c r="D53" s="2" t="str">
        <f t="shared" si="9"/>
        <v>vis</v>
      </c>
      <c r="E53" s="18">
        <f>VLOOKUP(C53,Active!C$21:E$966,3,FALSE)</f>
        <v>-2175.0124037996211</v>
      </c>
      <c r="F53" s="4" t="s">
        <v>79</v>
      </c>
      <c r="G53" s="2" t="str">
        <f t="shared" si="10"/>
        <v>41601.563</v>
      </c>
      <c r="H53" s="10">
        <f t="shared" si="11"/>
        <v>-4851.5</v>
      </c>
      <c r="I53" s="19" t="s">
        <v>114</v>
      </c>
      <c r="J53" s="20" t="s">
        <v>115</v>
      </c>
      <c r="K53" s="19">
        <v>-4851.5</v>
      </c>
      <c r="L53" s="19" t="s">
        <v>116</v>
      </c>
      <c r="M53" s="20" t="s">
        <v>84</v>
      </c>
      <c r="N53" s="20"/>
      <c r="O53" s="21" t="s">
        <v>85</v>
      </c>
      <c r="P53" s="21" t="s">
        <v>86</v>
      </c>
    </row>
    <row r="54" spans="1:16" ht="12.75" customHeight="1" thickBot="1" x14ac:dyDescent="0.25">
      <c r="A54" s="10" t="str">
        <f t="shared" si="6"/>
        <v> MHAR 16.13 </v>
      </c>
      <c r="B54" s="4" t="str">
        <f t="shared" si="7"/>
        <v>I</v>
      </c>
      <c r="C54" s="10">
        <f t="shared" si="8"/>
        <v>44169.567000000003</v>
      </c>
      <c r="D54" s="2" t="str">
        <f t="shared" si="9"/>
        <v>vis</v>
      </c>
      <c r="E54" s="18">
        <f>VLOOKUP(C54,Active!C$21:E$966,3,FALSE)</f>
        <v>-3.3878592344614628E-3</v>
      </c>
      <c r="F54" s="4" t="s">
        <v>79</v>
      </c>
      <c r="G54" s="2" t="str">
        <f t="shared" si="10"/>
        <v>44169.567</v>
      </c>
      <c r="H54" s="10">
        <f t="shared" si="11"/>
        <v>-3764</v>
      </c>
      <c r="I54" s="19" t="s">
        <v>117</v>
      </c>
      <c r="J54" s="20" t="s">
        <v>118</v>
      </c>
      <c r="K54" s="19">
        <v>-3764</v>
      </c>
      <c r="L54" s="19" t="s">
        <v>119</v>
      </c>
      <c r="M54" s="20" t="s">
        <v>84</v>
      </c>
      <c r="N54" s="20"/>
      <c r="O54" s="21" t="s">
        <v>85</v>
      </c>
      <c r="P54" s="21" t="s">
        <v>86</v>
      </c>
    </row>
    <row r="55" spans="1:16" ht="12.75" customHeight="1" thickBot="1" x14ac:dyDescent="0.25">
      <c r="A55" s="10" t="str">
        <f t="shared" si="6"/>
        <v>OEJV 0094 </v>
      </c>
      <c r="B55" s="4" t="str">
        <f t="shared" si="7"/>
        <v>I</v>
      </c>
      <c r="C55" s="10">
        <f t="shared" si="8"/>
        <v>54500.453000000001</v>
      </c>
      <c r="D55" s="2" t="str">
        <f t="shared" si="9"/>
        <v>vis</v>
      </c>
      <c r="E55" s="18" t="e">
        <f>VLOOKUP(C55,Active!C$21:E$966,3,FALSE)</f>
        <v>#N/A</v>
      </c>
      <c r="F55" s="4" t="s">
        <v>79</v>
      </c>
      <c r="G55" s="2" t="str">
        <f t="shared" si="10"/>
        <v>54500.4530</v>
      </c>
      <c r="H55" s="10">
        <f t="shared" si="11"/>
        <v>611</v>
      </c>
      <c r="I55" s="19" t="s">
        <v>224</v>
      </c>
      <c r="J55" s="20" t="s">
        <v>225</v>
      </c>
      <c r="K55" s="19">
        <v>611</v>
      </c>
      <c r="L55" s="19" t="s">
        <v>226</v>
      </c>
      <c r="M55" s="20" t="s">
        <v>205</v>
      </c>
      <c r="N55" s="20" t="s">
        <v>223</v>
      </c>
      <c r="O55" s="21" t="s">
        <v>213</v>
      </c>
      <c r="P55" s="22" t="s">
        <v>227</v>
      </c>
    </row>
    <row r="56" spans="1:16" ht="12.75" customHeight="1" thickBot="1" x14ac:dyDescent="0.25">
      <c r="A56" s="10" t="str">
        <f t="shared" si="6"/>
        <v>OEJV 0094 </v>
      </c>
      <c r="B56" s="4" t="str">
        <f t="shared" si="7"/>
        <v>II</v>
      </c>
      <c r="C56" s="10">
        <f t="shared" si="8"/>
        <v>54506.349699999999</v>
      </c>
      <c r="D56" s="2" t="str">
        <f t="shared" si="9"/>
        <v>vis</v>
      </c>
      <c r="E56" s="18" t="e">
        <f>VLOOKUP(C56,Active!C$21:E$966,3,FALSE)</f>
        <v>#N/A</v>
      </c>
      <c r="F56" s="4" t="s">
        <v>79</v>
      </c>
      <c r="G56" s="2" t="str">
        <f t="shared" si="10"/>
        <v>54506.3497</v>
      </c>
      <c r="H56" s="10">
        <f t="shared" si="11"/>
        <v>613.5</v>
      </c>
      <c r="I56" s="19" t="s">
        <v>228</v>
      </c>
      <c r="J56" s="20" t="s">
        <v>229</v>
      </c>
      <c r="K56" s="19">
        <v>613.5</v>
      </c>
      <c r="L56" s="19" t="s">
        <v>230</v>
      </c>
      <c r="M56" s="20" t="s">
        <v>205</v>
      </c>
      <c r="N56" s="20" t="s">
        <v>45</v>
      </c>
      <c r="O56" s="21" t="s">
        <v>231</v>
      </c>
      <c r="P56" s="22" t="s">
        <v>227</v>
      </c>
    </row>
    <row r="57" spans="1:16" ht="12.75" customHeight="1" thickBot="1" x14ac:dyDescent="0.25">
      <c r="A57" s="10" t="str">
        <f t="shared" si="6"/>
        <v>VSB 50 </v>
      </c>
      <c r="B57" s="4" t="str">
        <f t="shared" si="7"/>
        <v>I</v>
      </c>
      <c r="C57" s="10">
        <f t="shared" si="8"/>
        <v>54845.206599999998</v>
      </c>
      <c r="D57" s="2" t="str">
        <f t="shared" si="9"/>
        <v>vis</v>
      </c>
      <c r="E57" s="18">
        <f>VLOOKUP(C57,Active!C$21:E$966,3,FALSE)</f>
        <v>9041.8876609593044</v>
      </c>
      <c r="F57" s="4" t="s">
        <v>79</v>
      </c>
      <c r="G57" s="2" t="str">
        <f t="shared" si="10"/>
        <v>54845.2066</v>
      </c>
      <c r="H57" s="10">
        <f t="shared" si="11"/>
        <v>757</v>
      </c>
      <c r="I57" s="19" t="s">
        <v>232</v>
      </c>
      <c r="J57" s="20" t="s">
        <v>233</v>
      </c>
      <c r="K57" s="19">
        <v>757</v>
      </c>
      <c r="L57" s="19" t="s">
        <v>234</v>
      </c>
      <c r="M57" s="20" t="s">
        <v>205</v>
      </c>
      <c r="N57" s="20" t="s">
        <v>79</v>
      </c>
      <c r="O57" s="21" t="s">
        <v>235</v>
      </c>
      <c r="P57" s="22" t="s">
        <v>236</v>
      </c>
    </row>
    <row r="58" spans="1:16" ht="12.75" customHeight="1" thickBot="1" x14ac:dyDescent="0.25">
      <c r="A58" s="10" t="str">
        <f t="shared" si="6"/>
        <v>VSB 51 </v>
      </c>
      <c r="B58" s="4" t="str">
        <f t="shared" si="7"/>
        <v>II</v>
      </c>
      <c r="C58" s="10">
        <f t="shared" si="8"/>
        <v>55198.2304</v>
      </c>
      <c r="D58" s="2" t="str">
        <f t="shared" si="9"/>
        <v>vis</v>
      </c>
      <c r="E58" s="18">
        <f>VLOOKUP(C58,Active!C$21:E$966,3,FALSE)</f>
        <v>9340.8863961020616</v>
      </c>
      <c r="F58" s="4" t="s">
        <v>79</v>
      </c>
      <c r="G58" s="2" t="str">
        <f t="shared" si="10"/>
        <v>55198.2304</v>
      </c>
      <c r="H58" s="10">
        <f t="shared" si="11"/>
        <v>906.5</v>
      </c>
      <c r="I58" s="19" t="s">
        <v>242</v>
      </c>
      <c r="J58" s="20" t="s">
        <v>243</v>
      </c>
      <c r="K58" s="19">
        <v>906.5</v>
      </c>
      <c r="L58" s="19" t="s">
        <v>244</v>
      </c>
      <c r="M58" s="20" t="s">
        <v>205</v>
      </c>
      <c r="N58" s="20" t="s">
        <v>79</v>
      </c>
      <c r="O58" s="21" t="s">
        <v>235</v>
      </c>
      <c r="P58" s="22" t="s">
        <v>245</v>
      </c>
    </row>
    <row r="59" spans="1:16" ht="12.75" customHeight="1" thickBot="1" x14ac:dyDescent="0.25">
      <c r="A59" s="10" t="str">
        <f t="shared" si="6"/>
        <v>VSB 51 </v>
      </c>
      <c r="B59" s="4" t="str">
        <f t="shared" si="7"/>
        <v>I</v>
      </c>
      <c r="C59" s="10">
        <f t="shared" si="8"/>
        <v>55233.085500000001</v>
      </c>
      <c r="D59" s="2" t="str">
        <f t="shared" si="9"/>
        <v>vis</v>
      </c>
      <c r="E59" s="18">
        <f>VLOOKUP(C59,Active!C$21:E$966,3,FALSE)</f>
        <v>9370.407439196817</v>
      </c>
      <c r="F59" s="4" t="s">
        <v>79</v>
      </c>
      <c r="G59" s="2" t="str">
        <f t="shared" si="10"/>
        <v>55233.0855</v>
      </c>
      <c r="H59" s="10">
        <f t="shared" si="11"/>
        <v>921</v>
      </c>
      <c r="I59" s="19" t="s">
        <v>246</v>
      </c>
      <c r="J59" s="20" t="s">
        <v>247</v>
      </c>
      <c r="K59" s="19">
        <v>921</v>
      </c>
      <c r="L59" s="19" t="s">
        <v>248</v>
      </c>
      <c r="M59" s="20" t="s">
        <v>205</v>
      </c>
      <c r="N59" s="20" t="s">
        <v>249</v>
      </c>
      <c r="O59" s="21" t="s">
        <v>250</v>
      </c>
      <c r="P59" s="22" t="s">
        <v>245</v>
      </c>
    </row>
    <row r="60" spans="1:16" ht="12.75" customHeight="1" thickBot="1" x14ac:dyDescent="0.25">
      <c r="A60" s="10" t="str">
        <f t="shared" si="6"/>
        <v>OEJV 0137 </v>
      </c>
      <c r="B60" s="4" t="str">
        <f t="shared" si="7"/>
        <v>I</v>
      </c>
      <c r="C60" s="10">
        <f t="shared" si="8"/>
        <v>55591.3914</v>
      </c>
      <c r="D60" s="2" t="str">
        <f t="shared" si="9"/>
        <v>vis</v>
      </c>
      <c r="E60" s="18" t="e">
        <f>VLOOKUP(C60,Active!C$21:E$966,3,FALSE)</f>
        <v>#N/A</v>
      </c>
      <c r="F60" s="4" t="s">
        <v>79</v>
      </c>
      <c r="G60" s="2" t="str">
        <f t="shared" si="10"/>
        <v>55591.3914</v>
      </c>
      <c r="H60" s="10">
        <f t="shared" si="11"/>
        <v>1073</v>
      </c>
      <c r="I60" s="19" t="s">
        <v>256</v>
      </c>
      <c r="J60" s="20" t="s">
        <v>257</v>
      </c>
      <c r="K60" s="19">
        <v>1073</v>
      </c>
      <c r="L60" s="19" t="s">
        <v>258</v>
      </c>
      <c r="M60" s="20" t="s">
        <v>205</v>
      </c>
      <c r="N60" s="20" t="s">
        <v>223</v>
      </c>
      <c r="O60" s="21" t="s">
        <v>213</v>
      </c>
      <c r="P60" s="22" t="s">
        <v>259</v>
      </c>
    </row>
    <row r="61" spans="1:16" ht="12.75" customHeight="1" thickBot="1" x14ac:dyDescent="0.25">
      <c r="A61" s="10" t="str">
        <f t="shared" si="6"/>
        <v>OEJV 0137 </v>
      </c>
      <c r="B61" s="4" t="str">
        <f t="shared" si="7"/>
        <v>I</v>
      </c>
      <c r="C61" s="10">
        <f t="shared" si="8"/>
        <v>55591.391900000002</v>
      </c>
      <c r="D61" s="2" t="str">
        <f t="shared" si="9"/>
        <v>vis</v>
      </c>
      <c r="E61" s="18" t="e">
        <f>VLOOKUP(C61,Active!C$21:E$966,3,FALSE)</f>
        <v>#N/A</v>
      </c>
      <c r="F61" s="4" t="s">
        <v>79</v>
      </c>
      <c r="G61" s="2" t="str">
        <f t="shared" si="10"/>
        <v>55591.3919</v>
      </c>
      <c r="H61" s="10">
        <f t="shared" si="11"/>
        <v>1073</v>
      </c>
      <c r="I61" s="19" t="s">
        <v>260</v>
      </c>
      <c r="J61" s="20" t="s">
        <v>261</v>
      </c>
      <c r="K61" s="19">
        <v>1073</v>
      </c>
      <c r="L61" s="19" t="s">
        <v>262</v>
      </c>
      <c r="M61" s="20" t="s">
        <v>205</v>
      </c>
      <c r="N61" s="20" t="s">
        <v>45</v>
      </c>
      <c r="O61" s="21" t="s">
        <v>213</v>
      </c>
      <c r="P61" s="22" t="s">
        <v>259</v>
      </c>
    </row>
    <row r="62" spans="1:16" ht="12.75" customHeight="1" thickBot="1" x14ac:dyDescent="0.25">
      <c r="A62" s="10" t="str">
        <f t="shared" si="6"/>
        <v>OEJV 0137 </v>
      </c>
      <c r="B62" s="4" t="str">
        <f t="shared" si="7"/>
        <v>I</v>
      </c>
      <c r="C62" s="10">
        <f t="shared" si="8"/>
        <v>55591.392699999997</v>
      </c>
      <c r="D62" s="2" t="str">
        <f t="shared" si="9"/>
        <v>vis</v>
      </c>
      <c r="E62" s="18" t="e">
        <f>VLOOKUP(C62,Active!C$21:E$966,3,FALSE)</f>
        <v>#N/A</v>
      </c>
      <c r="F62" s="4" t="s">
        <v>79</v>
      </c>
      <c r="G62" s="2" t="str">
        <f t="shared" si="10"/>
        <v>55591.3927</v>
      </c>
      <c r="H62" s="10">
        <f t="shared" si="11"/>
        <v>1073</v>
      </c>
      <c r="I62" s="19" t="s">
        <v>263</v>
      </c>
      <c r="J62" s="20" t="s">
        <v>264</v>
      </c>
      <c r="K62" s="19">
        <v>1073</v>
      </c>
      <c r="L62" s="19" t="s">
        <v>265</v>
      </c>
      <c r="M62" s="20" t="s">
        <v>205</v>
      </c>
      <c r="N62" s="20" t="s">
        <v>79</v>
      </c>
      <c r="O62" s="21" t="s">
        <v>213</v>
      </c>
      <c r="P62" s="22" t="s">
        <v>259</v>
      </c>
    </row>
    <row r="63" spans="1:16" ht="12.75" customHeight="1" thickBot="1" x14ac:dyDescent="0.25">
      <c r="A63" s="10" t="str">
        <f t="shared" si="6"/>
        <v>VSB 56 </v>
      </c>
      <c r="B63" s="4" t="str">
        <f t="shared" si="7"/>
        <v>II</v>
      </c>
      <c r="C63" s="10">
        <f t="shared" si="8"/>
        <v>56296.255299999997</v>
      </c>
      <c r="D63" s="2" t="str">
        <f t="shared" si="9"/>
        <v>vis</v>
      </c>
      <c r="E63" s="18">
        <f>VLOOKUP(C63,Active!C$21:E$966,3,FALSE)</f>
        <v>10270.874845196002</v>
      </c>
      <c r="F63" s="4" t="s">
        <v>79</v>
      </c>
      <c r="G63" s="2" t="str">
        <f t="shared" si="10"/>
        <v>56296.2553</v>
      </c>
      <c r="H63" s="10">
        <f t="shared" si="11"/>
        <v>1371.5</v>
      </c>
      <c r="I63" s="19" t="s">
        <v>276</v>
      </c>
      <c r="J63" s="20" t="s">
        <v>277</v>
      </c>
      <c r="K63" s="19">
        <v>1371.5</v>
      </c>
      <c r="L63" s="19" t="s">
        <v>278</v>
      </c>
      <c r="M63" s="20" t="s">
        <v>205</v>
      </c>
      <c r="N63" s="20" t="s">
        <v>79</v>
      </c>
      <c r="O63" s="21" t="s">
        <v>235</v>
      </c>
      <c r="P63" s="22" t="s">
        <v>279</v>
      </c>
    </row>
    <row r="64" spans="1:16" ht="12.75" customHeight="1" thickBot="1" x14ac:dyDescent="0.25">
      <c r="A64" s="10" t="str">
        <f t="shared" si="6"/>
        <v>VSB 56 </v>
      </c>
      <c r="B64" s="4" t="str">
        <f t="shared" si="7"/>
        <v>I</v>
      </c>
      <c r="C64" s="10">
        <f t="shared" si="8"/>
        <v>56321.0481</v>
      </c>
      <c r="D64" s="2" t="str">
        <f t="shared" si="9"/>
        <v>vis</v>
      </c>
      <c r="E64" s="18" t="e">
        <f>VLOOKUP(C64,Active!C$21:E$966,3,FALSE)</f>
        <v>#N/A</v>
      </c>
      <c r="F64" s="4" t="s">
        <v>79</v>
      </c>
      <c r="G64" s="2" t="str">
        <f t="shared" si="10"/>
        <v>56321.0481</v>
      </c>
      <c r="H64" s="10">
        <f t="shared" si="11"/>
        <v>1382</v>
      </c>
      <c r="I64" s="19" t="s">
        <v>280</v>
      </c>
      <c r="J64" s="20" t="s">
        <v>281</v>
      </c>
      <c r="K64" s="19">
        <v>1382</v>
      </c>
      <c r="L64" s="19" t="s">
        <v>282</v>
      </c>
      <c r="M64" s="20" t="s">
        <v>205</v>
      </c>
      <c r="N64" s="20" t="s">
        <v>283</v>
      </c>
      <c r="O64" s="21" t="s">
        <v>250</v>
      </c>
      <c r="P64" s="22" t="s">
        <v>279</v>
      </c>
    </row>
    <row r="65" spans="1:16" ht="12.75" customHeight="1" thickBot="1" x14ac:dyDescent="0.25">
      <c r="A65" s="10" t="str">
        <f t="shared" si="6"/>
        <v>VSB 56 </v>
      </c>
      <c r="B65" s="4" t="str">
        <f t="shared" si="7"/>
        <v>I</v>
      </c>
      <c r="C65" s="10">
        <f t="shared" si="8"/>
        <v>56321.052799999998</v>
      </c>
      <c r="D65" s="2" t="str">
        <f t="shared" si="9"/>
        <v>vis</v>
      </c>
      <c r="E65" s="18">
        <f>VLOOKUP(C65,Active!C$21:E$966,3,FALSE)</f>
        <v>10291.877455033362</v>
      </c>
      <c r="F65" s="4" t="s">
        <v>79</v>
      </c>
      <c r="G65" s="2" t="str">
        <f t="shared" si="10"/>
        <v>56321.0528</v>
      </c>
      <c r="H65" s="10">
        <f t="shared" si="11"/>
        <v>1382</v>
      </c>
      <c r="I65" s="19" t="s">
        <v>284</v>
      </c>
      <c r="J65" s="20" t="s">
        <v>285</v>
      </c>
      <c r="K65" s="19">
        <v>1382</v>
      </c>
      <c r="L65" s="19" t="s">
        <v>286</v>
      </c>
      <c r="M65" s="20" t="s">
        <v>205</v>
      </c>
      <c r="N65" s="20" t="s">
        <v>31</v>
      </c>
      <c r="O65" s="21" t="s">
        <v>250</v>
      </c>
      <c r="P65" s="22" t="s">
        <v>279</v>
      </c>
    </row>
    <row r="66" spans="1:16" ht="12.75" customHeight="1" thickBot="1" x14ac:dyDescent="0.25">
      <c r="A66" s="10" t="str">
        <f t="shared" si="6"/>
        <v>VSB 56 </v>
      </c>
      <c r="B66" s="4" t="str">
        <f t="shared" si="7"/>
        <v>I</v>
      </c>
      <c r="C66" s="10">
        <f t="shared" si="8"/>
        <v>56321.054400000001</v>
      </c>
      <c r="D66" s="2" t="str">
        <f t="shared" si="9"/>
        <v>vis</v>
      </c>
      <c r="E66" s="18" t="e">
        <f>VLOOKUP(C66,Active!C$21:E$966,3,FALSE)</f>
        <v>#N/A</v>
      </c>
      <c r="F66" s="4" t="s">
        <v>79</v>
      </c>
      <c r="G66" s="2" t="str">
        <f t="shared" si="10"/>
        <v>56321.0544</v>
      </c>
      <c r="H66" s="10">
        <f t="shared" si="11"/>
        <v>1382</v>
      </c>
      <c r="I66" s="19" t="s">
        <v>287</v>
      </c>
      <c r="J66" s="20" t="s">
        <v>288</v>
      </c>
      <c r="K66" s="19">
        <v>1382</v>
      </c>
      <c r="L66" s="19" t="s">
        <v>234</v>
      </c>
      <c r="M66" s="20" t="s">
        <v>205</v>
      </c>
      <c r="N66" s="20" t="s">
        <v>79</v>
      </c>
      <c r="O66" s="21" t="s">
        <v>250</v>
      </c>
      <c r="P66" s="22" t="s">
        <v>279</v>
      </c>
    </row>
    <row r="67" spans="1:16" x14ac:dyDescent="0.2">
      <c r="B67" s="4"/>
      <c r="F67" s="4"/>
    </row>
    <row r="68" spans="1:16" x14ac:dyDescent="0.2">
      <c r="B68" s="4"/>
      <c r="F68" s="4"/>
    </row>
    <row r="69" spans="1:16" x14ac:dyDescent="0.2">
      <c r="B69" s="4"/>
      <c r="F69" s="4"/>
    </row>
    <row r="70" spans="1:16" x14ac:dyDescent="0.2">
      <c r="B70" s="4"/>
      <c r="F70" s="4"/>
    </row>
    <row r="71" spans="1:16" x14ac:dyDescent="0.2">
      <c r="B71" s="4"/>
      <c r="F71" s="4"/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</sheetData>
  <phoneticPr fontId="8" type="noConversion"/>
  <hyperlinks>
    <hyperlink ref="P33" r:id="rId1" display="http://www.konkoly.hu/cgi-bin/IBVS?5583"/>
    <hyperlink ref="P34" r:id="rId2" display="http://www.bav-astro.de/sfs/BAVM_link.php?BAVMnr=178"/>
    <hyperlink ref="P35" r:id="rId3" display="http://var.astro.cz/oejv/issues/oejv0074.pdf"/>
    <hyperlink ref="P36" r:id="rId4" display="http://www.bav-astro.de/sfs/BAVM_link.php?BAVMnr=186"/>
    <hyperlink ref="P37" r:id="rId5" display="http://var.astro.cz/oejv/issues/oejv0074.pdf"/>
    <hyperlink ref="P55" r:id="rId6" display="http://var.astro.cz/oejv/issues/oejv0094.pdf"/>
    <hyperlink ref="P56" r:id="rId7" display="http://var.astro.cz/oejv/issues/oejv0094.pdf"/>
    <hyperlink ref="P57" r:id="rId8" display="http://vsolj.cetus-net.org/vsoljno50.pdf"/>
    <hyperlink ref="P38" r:id="rId9" display="http://www.konkoly.hu/cgi-bin/IBVS?5938"/>
    <hyperlink ref="P58" r:id="rId10" display="http://vsolj.cetus-net.org/vsoljno51.pdf"/>
    <hyperlink ref="P59" r:id="rId11" display="http://vsolj.cetus-net.org/vsoljno51.pdf"/>
    <hyperlink ref="P39" r:id="rId12" display="http://www.bav-astro.de/sfs/BAVM_link.php?BAVMnr=220"/>
    <hyperlink ref="P60" r:id="rId13" display="http://var.astro.cz/oejv/issues/oejv0137.pdf"/>
    <hyperlink ref="P61" r:id="rId14" display="http://var.astro.cz/oejv/issues/oejv0137.pdf"/>
    <hyperlink ref="P62" r:id="rId15" display="http://var.astro.cz/oejv/issues/oejv0137.pdf"/>
    <hyperlink ref="P40" r:id="rId16" display="http://www.konkoly.hu/cgi-bin/IBVS?5992"/>
    <hyperlink ref="P41" r:id="rId17" display="http://www.konkoly.hu/cgi-bin/IBVS?6007"/>
    <hyperlink ref="P63" r:id="rId18" display="http://vsolj.cetus-net.org/vsoljno56.pdf"/>
    <hyperlink ref="P64" r:id="rId19" display="http://vsolj.cetus-net.org/vsoljno56.pdf"/>
    <hyperlink ref="P65" r:id="rId20" display="http://vsolj.cetus-net.org/vsoljno56.pdf"/>
    <hyperlink ref="P66" r:id="rId21" display="http://vsolj.cetus-net.org/vsoljno56.pdf"/>
    <hyperlink ref="P42" r:id="rId2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2023-09-23T01:07:52Z</dcterms:modified>
</cp:coreProperties>
</file>