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6016B6-5399-4D67-BEF0-DC8A4924CD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4" i="1"/>
  <c r="F34" i="1"/>
  <c r="G34" i="1"/>
  <c r="K34" i="1"/>
  <c r="E35" i="1"/>
  <c r="F35" i="1"/>
  <c r="G35" i="1"/>
  <c r="K35" i="1"/>
  <c r="D9" i="1"/>
  <c r="C9" i="1"/>
  <c r="Q34" i="1"/>
  <c r="Q35" i="1"/>
  <c r="E32" i="1"/>
  <c r="F32" i="1"/>
  <c r="G32" i="1"/>
  <c r="K32" i="1"/>
  <c r="Q32" i="1"/>
  <c r="E33" i="1"/>
  <c r="F33" i="1"/>
  <c r="G33" i="1"/>
  <c r="K33" i="1"/>
  <c r="Q33" i="1"/>
  <c r="E31" i="1"/>
  <c r="F31" i="1"/>
  <c r="G31" i="1"/>
  <c r="K31" i="1"/>
  <c r="Q31" i="1"/>
  <c r="E30" i="1"/>
  <c r="F30" i="1"/>
  <c r="G30" i="1"/>
  <c r="K30" i="1"/>
  <c r="Q30" i="1"/>
  <c r="E22" i="1"/>
  <c r="F22" i="1"/>
  <c r="G22" i="1"/>
  <c r="K22" i="1"/>
  <c r="E21" i="1"/>
  <c r="F21" i="1"/>
  <c r="G21" i="1"/>
  <c r="K21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Q22" i="1"/>
  <c r="F16" i="1"/>
  <c r="F17" i="1" s="1"/>
  <c r="C17" i="1"/>
  <c r="Q29" i="1"/>
  <c r="Q21" i="1"/>
  <c r="Q24" i="1"/>
  <c r="Q27" i="1"/>
  <c r="Q23" i="1"/>
  <c r="Q25" i="1"/>
  <c r="Q26" i="1"/>
  <c r="Q28" i="1"/>
  <c r="C12" i="1"/>
  <c r="C11" i="1"/>
  <c r="O36" i="1" l="1"/>
  <c r="O30" i="1"/>
  <c r="O21" i="1"/>
  <c r="O33" i="1"/>
  <c r="O27" i="1"/>
  <c r="O32" i="1"/>
  <c r="O34" i="1"/>
  <c r="C15" i="1"/>
  <c r="O28" i="1"/>
  <c r="O23" i="1"/>
  <c r="O22" i="1"/>
  <c r="O26" i="1"/>
  <c r="O35" i="1"/>
  <c r="O25" i="1"/>
  <c r="O24" i="1"/>
  <c r="O31" i="1"/>
  <c r="O2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<sst xmlns="http://schemas.openxmlformats.org/spreadsheetml/2006/main" count="78" uniqueCount="59">
  <si>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</si>
  <si>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</si>
  <si>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</si>
  <si>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</si>
  <si>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</si>
  <si>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</si>
  <si>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</si>
  <si>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</si>
  <si>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</si>
  <si>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</si>
  <si>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</si>
  <si>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</si>
  <si>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</si>
  <si>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</si>
  <si>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</si>
  <si>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</si>
  <si>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</si>
  <si>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</si>
  <si>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</si>
  <si>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</si>
  <si>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</si>
  <si>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</si>
  <si>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</si>
  <si>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</si>
  <si>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not avail.</t>
  </si>
  <si>
    <t># of data points:</t>
  </si>
  <si>
    <t>ASAS</t>
  </si>
  <si>
    <t>CX CMi / GSC 00766-01248</t>
  </si>
  <si>
    <t>IBVS 5731</t>
  </si>
  <si>
    <t>II</t>
  </si>
  <si>
    <t>EW</t>
  </si>
  <si>
    <t>I</t>
  </si>
  <si>
    <t>IBVS 5484</t>
  </si>
  <si>
    <t>aka Brh V40</t>
  </si>
  <si>
    <t>I </t>
  </si>
  <si>
    <t>IBVS 5366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</si>
  <si>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</si>
  <si>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</si>
  <si>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</si>
  <si>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</si>
  <si>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</si>
  <si>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</si>
  <si>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</si>
  <si>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Add cycle</t>
  </si>
  <si>
    <t>Old Cycle</t>
  </si>
  <si>
    <t>IBVS 6029</t>
  </si>
  <si>
    <t>OEJV 0160</t>
  </si>
  <si>
    <t>JAVSO..44…69</t>
  </si>
  <si>
    <t>JAVSO..45..121</t>
  </si>
  <si>
    <t>pg</t>
  </si>
  <si>
    <t>vis</t>
  </si>
  <si>
    <t>PE</t>
  </si>
  <si>
    <t>CCD</t>
  </si>
  <si>
    <t>s5</t>
  </si>
  <si>
    <t>s6</t>
  </si>
  <si>
    <t>s7</t>
  </si>
  <si>
    <t>JAVSO..46..184</t>
  </si>
  <si>
    <t>OEJV 0211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</si>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</sst>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5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CMi - O-C Diagr.</a:t>
            </a:r>
          </a:p>
        </c:rich>
      </c:tx>
      <c:layout>
        <c:manualLayout>
          <c:xMode val="edge"/>
          <c:yMode val="edge"/>
          <c:x val="0.3774193548387097"/>
          <c:y val="3.353676535113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"/>
          <c:y val="0.14634168126798494"/>
          <c:w val="0.8048387096774193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3-45D7-929E-7A94C164E9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3-45D7-929E-7A94C164E9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B3-45D7-929E-7A94C164E9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0">
                  <c:v>1.3199997920310125E-4</c:v>
                </c:pt>
                <c:pt idx="1">
                  <c:v>3.9999999717110768E-4</c:v>
                </c:pt>
                <c:pt idx="2">
                  <c:v>1.799999998183921E-3</c:v>
                </c:pt>
                <c:pt idx="3">
                  <c:v>-6.8799994915025309E-4</c:v>
                </c:pt>
                <c:pt idx="4">
                  <c:v>3.1199999648379162E-4</c:v>
                </c:pt>
                <c:pt idx="5">
                  <c:v>1.0000000038417056E-3</c:v>
                </c:pt>
                <c:pt idx="6">
                  <c:v>1.3000001927139238E-3</c:v>
                </c:pt>
                <c:pt idx="7">
                  <c:v>-2.8800000000046566E-3</c:v>
                </c:pt>
                <c:pt idx="8">
                  <c:v>2.9759999961243011E-3</c:v>
                </c:pt>
                <c:pt idx="9">
                  <c:v>7.2639999998500571E-3</c:v>
                </c:pt>
                <c:pt idx="10">
                  <c:v>1.2712000003375579E-2</c:v>
                </c:pt>
                <c:pt idx="11">
                  <c:v>2.4552000002586283E-2</c:v>
                </c:pt>
                <c:pt idx="12">
                  <c:v>2.9003999996348284E-2</c:v>
                </c:pt>
                <c:pt idx="13">
                  <c:v>3.3699999999953434E-2</c:v>
                </c:pt>
                <c:pt idx="14">
                  <c:v>3.6407999956281856E-2</c:v>
                </c:pt>
                <c:pt idx="15">
                  <c:v>5.7527999990270473E-2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3-45D7-929E-7A94C164E9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B3-45D7-929E-7A94C164E9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B3-45D7-929E-7A94C164E9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1.1000000000000001E-3</c:v>
                  </c:pt>
                  <c:pt idx="1">
                    <c:v>8.0000000000000004E-4</c:v>
                  </c:pt>
                  <c:pt idx="2">
                    <c:v>2E-3</c:v>
                  </c:pt>
                  <c:pt idx="3">
                    <c:v>1.2999999999999999E-3</c:v>
                  </c:pt>
                  <c:pt idx="4">
                    <c:v>2.0000000000000001E-4</c:v>
                  </c:pt>
                  <c:pt idx="5">
                    <c:v>1E-4</c:v>
                  </c:pt>
                  <c:pt idx="6">
                    <c:v>5.9999999999999995E-4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5.9999999999999995E-4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1E-4</c:v>
                  </c:pt>
                  <c:pt idx="13">
                    <c:v>2.0000000000000001E-4</c:v>
                  </c:pt>
                  <c:pt idx="14">
                    <c:v>6.9999999999999999E-4</c:v>
                  </c:pt>
                  <c:pt idx="1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B3-45D7-929E-7A94C164E9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-24</c:v>
                </c:pt>
                <c:pt idx="1">
                  <c:v>0</c:v>
                </c:pt>
                <c:pt idx="2">
                  <c:v>0</c:v>
                </c:pt>
                <c:pt idx="3">
                  <c:v>3.5</c:v>
                </c:pt>
                <c:pt idx="4">
                  <c:v>3.5</c:v>
                </c:pt>
                <c:pt idx="5">
                  <c:v>12.5</c:v>
                </c:pt>
                <c:pt idx="6">
                  <c:v>12.5</c:v>
                </c:pt>
                <c:pt idx="7">
                  <c:v>1535</c:v>
                </c:pt>
                <c:pt idx="8">
                  <c:v>2618</c:v>
                </c:pt>
                <c:pt idx="9">
                  <c:v>3589.5</c:v>
                </c:pt>
                <c:pt idx="10">
                  <c:v>3846</c:v>
                </c:pt>
                <c:pt idx="11">
                  <c:v>4586</c:v>
                </c:pt>
                <c:pt idx="12">
                  <c:v>4897</c:v>
                </c:pt>
                <c:pt idx="13">
                  <c:v>5225</c:v>
                </c:pt>
                <c:pt idx="14">
                  <c:v>5211.5</c:v>
                </c:pt>
                <c:pt idx="15">
                  <c:v>7091.5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-4.2008056711400739E-2</c:v>
                </c:pt>
                <c:pt idx="1">
                  <c:v>-4.1664692354663441E-2</c:v>
                </c:pt>
                <c:pt idx="2">
                  <c:v>-4.1664692354663441E-2</c:v>
                </c:pt>
                <c:pt idx="3">
                  <c:v>-4.1614618385972586E-2</c:v>
                </c:pt>
                <c:pt idx="4">
                  <c:v>-4.1614618385972586E-2</c:v>
                </c:pt>
                <c:pt idx="5">
                  <c:v>-4.1485856752196099E-2</c:v>
                </c:pt>
                <c:pt idx="6">
                  <c:v>-4.1485856752196099E-2</c:v>
                </c:pt>
                <c:pt idx="7">
                  <c:v>-1.9703680371673561E-2</c:v>
                </c:pt>
                <c:pt idx="8">
                  <c:v>-4.2093637739028522E-3</c:v>
                </c:pt>
                <c:pt idx="9">
                  <c:v>9.6897392498591431E-3</c:v>
                </c:pt>
                <c:pt idx="10">
                  <c:v>1.3359445812489053E-2</c:v>
                </c:pt>
                <c:pt idx="11">
                  <c:v>2.3946513478555836E-2</c:v>
                </c:pt>
                <c:pt idx="12">
                  <c:v>2.8395943267943355E-2</c:v>
                </c:pt>
                <c:pt idx="13">
                  <c:v>3.308858947668647E-2</c:v>
                </c:pt>
                <c:pt idx="14">
                  <c:v>3.2895447026021735E-2</c:v>
                </c:pt>
                <c:pt idx="15">
                  <c:v>5.9792321637110318E-2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B3-45D7-929E-7A94C164E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364616"/>
        <c:axId val="1"/>
      </c:scatterChart>
      <c:valAx>
        <c:axId val="709364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612903225806452"/>
              <c:y val="0.841945288753799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142426345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364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12903225806451"/>
          <c:y val="0.91793313069908811"/>
          <c:w val="0.7080645161290322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381000</xdr:colOff>
      <xdr:row>18</xdr:row>
      <xdr:rowOff>47625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6CF7A73E-7271-2992-DDE7-EF7DA1DAE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47"/>
  <sheetViews>
    <sheetView tabSelected="1" workbookViewId="0">
      <pane xSplit="5" ySplit="19" topLeftCell="F20" activePane="bottomRight" state="frozen"/>
      <selection pane="topRight" activeCell="F1" sqref="F1"/>
      <selection pane="bottomLeft" activeCell="A20" sqref="A20"/>
      <selection pane="bottomRight" activeCell="F10" sqref="F10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0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27</v>
      </c>
    </row>
    <row r="2" spans="1:6" x14ac:dyDescent="0.2">
      <c r="A2" t="s">
        <v>23</v>
      </c>
      <c r="B2" t="s">
        <v>30</v>
      </c>
      <c r="C2" s="2" t="s">
        <v>33</v>
      </c>
      <c r="D2" s="2"/>
    </row>
    <row r="3" spans="1:6" ht="13.5" thickBot="1" x14ac:dyDescent="0.25"/>
    <row r="4" spans="1:6" ht="14.25" thickTop="1" thickBot="1" x14ac:dyDescent="0.25">
      <c r="A4" s="4" t="s">
        <v>0</v>
      </c>
      <c r="C4" s="7" t="s">
        <v>24</v>
      </c>
      <c r="D4" s="8" t="s">
        <v>24</v>
      </c>
    </row>
    <row r="5" spans="1:6" ht="13.5" thickTop="1" x14ac:dyDescent="0.2">
      <c r="A5" s="15" t="s">
        <v>36</v>
      </c>
      <c r="B5" s="16"/>
      <c r="C5" s="17">
        <v>-9.5</v>
      </c>
      <c r="D5" s="16" t="s">
        <v>37</v>
      </c>
    </row>
    <row r="6" spans="1:6" x14ac:dyDescent="0.2">
      <c r="A6" s="4" t="s">
        <v>1</v>
      </c>
    </row>
    <row r="7" spans="1:6" x14ac:dyDescent="0.2">
      <c r="A7" t="s">
        <v>2</v>
      </c>
      <c r="C7" s="14">
        <v>51951.360500000003</v>
      </c>
      <c r="D7" t="s">
        <v>26</v>
      </c>
    </row>
    <row r="8" spans="1:6" x14ac:dyDescent="0.2">
      <c r="A8" t="s">
        <v>3</v>
      </c>
      <c r="C8" s="14">
        <v>1.1219680000000001</v>
      </c>
      <c r="D8" t="s">
        <v>26</v>
      </c>
    </row>
    <row r="9" spans="1:6" x14ac:dyDescent="0.2">
      <c r="A9" s="30" t="s">
        <v>41</v>
      </c>
      <c r="B9" s="31">
        <v>30</v>
      </c>
      <c r="C9" s="19" t="str">
        <f>"F"&amp;B9</f>
        <v>F30</v>
      </c>
      <c r="D9" s="20" t="str">
        <f>"G"&amp;B9</f>
        <v>G30</v>
      </c>
    </row>
    <row r="10" spans="1:6" ht="13.5" thickBot="1" x14ac:dyDescent="0.25">
      <c r="A10" s="16"/>
      <c r="B10" s="16"/>
      <c r="C10" s="3" t="s">
        <v>19</v>
      </c>
      <c r="D10" s="3" t="s">
        <v>20</v>
      </c>
      <c r="E10" s="16"/>
    </row>
    <row r="11" spans="1:6" x14ac:dyDescent="0.2">
      <c r="A11" s="16" t="s">
        <v>15</v>
      </c>
      <c r="B11" s="16"/>
      <c r="C11" s="18">
        <f ca="1">INTERCEPT(INDIRECT($D$9):G986,INDIRECT($C$9):F986)</f>
        <v>-4.1664692354663441E-2</v>
      </c>
      <c r="D11" s="2"/>
      <c r="E11" s="16"/>
    </row>
    <row r="12" spans="1:6" x14ac:dyDescent="0.2">
      <c r="A12" s="16" t="s">
        <v>16</v>
      </c>
      <c r="B12" s="16"/>
      <c r="C12" s="18">
        <f ca="1">SLOPE(INDIRECT($D$9):G986,INDIRECT($C$9):F986)</f>
        <v>1.4306848197387543E-5</v>
      </c>
      <c r="D12" s="2"/>
      <c r="E12" s="16"/>
    </row>
    <row r="13" spans="1:6" x14ac:dyDescent="0.2">
      <c r="A13" s="16" t="s">
        <v>18</v>
      </c>
      <c r="B13" s="16"/>
      <c r="C13" s="2" t="s">
        <v>13</v>
      </c>
    </row>
    <row r="14" spans="1:6" x14ac:dyDescent="0.2">
      <c r="A14" s="16"/>
      <c r="B14" s="16"/>
      <c r="C14" s="16"/>
    </row>
    <row r="15" spans="1:6" x14ac:dyDescent="0.2">
      <c r="A15" s="21" t="s">
        <v>17</v>
      </c>
      <c r="B15" s="16"/>
      <c r="C15" s="22">
        <f ca="1">(C7+C11)+(C8+C12)*INT(MAX(F21:F3527))</f>
        <v>59907.295373168214</v>
      </c>
      <c r="E15" s="23" t="s">
        <v>43</v>
      </c>
      <c r="F15" s="17">
        <v>1</v>
      </c>
    </row>
    <row r="16" spans="1:6" x14ac:dyDescent="0.2">
      <c r="A16" s="25" t="s">
        <v>4</v>
      </c>
      <c r="B16" s="16"/>
      <c r="C16" s="26">
        <f ca="1">+C8+C12</f>
        <v>1.1219823068481976</v>
      </c>
      <c r="E16" s="23" t="s">
        <v>38</v>
      </c>
      <c r="F16" s="24">
        <f ca="1">NOW()+15018.5+$C$5/24</f>
        <v>60163.484373263884</v>
      </c>
    </row>
    <row r="17" spans="1:17" ht="13.5" thickBot="1" x14ac:dyDescent="0.25">
      <c r="A17" s="23" t="s">
        <v>25</v>
      </c>
      <c r="B17" s="16"/>
      <c r="C17" s="16">
        <f>COUNT(C21:C2185)</f>
        <v>16</v>
      </c>
      <c r="E17" s="23" t="s">
        <v>44</v>
      </c>
      <c r="F17" s="24">
        <f ca="1">ROUND(2*(F16-$C$7)/$C$8,0)/2+F15</f>
        <v>7320.5</v>
      </c>
    </row>
    <row r="18" spans="1:17" ht="14.25" thickTop="1" thickBot="1" x14ac:dyDescent="0.25">
      <c r="A18" s="25" t="s">
        <v>5</v>
      </c>
      <c r="B18" s="16"/>
      <c r="C18" s="28">
        <f ca="1">+C15</f>
        <v>59907.295373168214</v>
      </c>
      <c r="D18" s="29">
        <f ca="1">+C16</f>
        <v>1.1219823068481976</v>
      </c>
      <c r="E18" s="23" t="s">
        <v>39</v>
      </c>
      <c r="F18" s="20">
        <f ca="1">ROUND(2*(F16-$C$15)/$C$16,0)/2+F15</f>
        <v>229.5</v>
      </c>
    </row>
    <row r="19" spans="1:17" ht="13.5" thickTop="1" x14ac:dyDescent="0.2">
      <c r="E19" s="23" t="s">
        <v>40</v>
      </c>
      <c r="F19" s="27">
        <f ca="1">+$C$15+$C$16*F18-15018.5-$C$5/24</f>
        <v>45146.68614592321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49</v>
      </c>
      <c r="I20" s="6" t="s">
        <v>50</v>
      </c>
      <c r="J20" s="6" t="s">
        <v>51</v>
      </c>
      <c r="K20" s="6" t="s">
        <v>52</v>
      </c>
      <c r="L20" s="6" t="s">
        <v>53</v>
      </c>
      <c r="M20" s="6" t="s">
        <v>54</v>
      </c>
      <c r="N20" s="6" t="s">
        <v>55</v>
      </c>
      <c r="O20" s="6" t="s">
        <v>22</v>
      </c>
      <c r="P20" s="5" t="s">
        <v>21</v>
      </c>
      <c r="Q20" s="3" t="s">
        <v>14</v>
      </c>
    </row>
    <row r="21" spans="1:17" s="42" customFormat="1" ht="12" customHeight="1" x14ac:dyDescent="0.2">
      <c r="A21" s="42" t="s">
        <v>35</v>
      </c>
      <c r="B21" s="43" t="s">
        <v>34</v>
      </c>
      <c r="C21" s="44">
        <v>51924.43339999998</v>
      </c>
      <c r="D21" s="44">
        <v>1.1000000000000001E-3</v>
      </c>
      <c r="E21" s="42">
        <f t="shared" ref="E21:E29" si="0">+(C21-C$7)/C$8</f>
        <v>-23.999882349605887</v>
      </c>
      <c r="F21" s="42">
        <f t="shared" ref="F21:F31" si="1">ROUND(2*E21,0)/2</f>
        <v>-24</v>
      </c>
      <c r="G21" s="42">
        <f t="shared" ref="G21:G29" si="2">+C21-(C$7+F21*C$8)</f>
        <v>1.3199997920310125E-4</v>
      </c>
      <c r="K21" s="42">
        <f t="shared" ref="K21:K33" si="3">+G21</f>
        <v>1.3199997920310125E-4</v>
      </c>
      <c r="O21" s="42">
        <f t="shared" ref="O21:O29" ca="1" si="4">+C$11+C$12*$F21</f>
        <v>-4.2008056711400739E-2</v>
      </c>
      <c r="Q21" s="45">
        <f t="shared" ref="Q21:Q29" si="5">+C21-15018.5</f>
        <v>36905.93339999998</v>
      </c>
    </row>
    <row r="22" spans="1:17" s="42" customFormat="1" ht="12" customHeight="1" x14ac:dyDescent="0.2">
      <c r="A22" s="32" t="s">
        <v>35</v>
      </c>
      <c r="B22" s="33" t="s">
        <v>31</v>
      </c>
      <c r="C22" s="32">
        <v>51951.3609</v>
      </c>
      <c r="D22" s="32">
        <v>8.0000000000000004E-4</v>
      </c>
      <c r="E22" s="42">
        <f t="shared" si="0"/>
        <v>3.5651640436367853E-4</v>
      </c>
      <c r="F22" s="42">
        <f t="shared" si="1"/>
        <v>0</v>
      </c>
      <c r="G22" s="42">
        <f t="shared" si="2"/>
        <v>3.9999999717110768E-4</v>
      </c>
      <c r="K22" s="42">
        <f t="shared" si="3"/>
        <v>3.9999999717110768E-4</v>
      </c>
      <c r="O22" s="42">
        <f t="shared" ca="1" si="4"/>
        <v>-4.1664692354663441E-2</v>
      </c>
      <c r="Q22" s="45">
        <f t="shared" si="5"/>
        <v>36932.8609</v>
      </c>
    </row>
    <row r="23" spans="1:17" s="42" customFormat="1" ht="12" customHeight="1" x14ac:dyDescent="0.2">
      <c r="A23" s="10" t="s">
        <v>32</v>
      </c>
      <c r="B23" s="13" t="s">
        <v>31</v>
      </c>
      <c r="C23" s="12">
        <v>51951.362300000001</v>
      </c>
      <c r="D23" s="12">
        <v>2E-3</v>
      </c>
      <c r="E23" s="42">
        <f t="shared" si="0"/>
        <v>1.6043238293640468E-3</v>
      </c>
      <c r="F23" s="42">
        <f t="shared" si="1"/>
        <v>0</v>
      </c>
      <c r="G23" s="42">
        <f t="shared" si="2"/>
        <v>1.799999998183921E-3</v>
      </c>
      <c r="K23" s="42">
        <f t="shared" si="3"/>
        <v>1.799999998183921E-3</v>
      </c>
      <c r="O23" s="42">
        <f t="shared" ca="1" si="4"/>
        <v>-4.1664692354663441E-2</v>
      </c>
      <c r="Q23" s="45">
        <f t="shared" si="5"/>
        <v>36932.862300000001</v>
      </c>
    </row>
    <row r="24" spans="1:17" s="42" customFormat="1" ht="12" customHeight="1" x14ac:dyDescent="0.2">
      <c r="A24" s="14" t="s">
        <v>35</v>
      </c>
      <c r="B24" s="13" t="s">
        <v>29</v>
      </c>
      <c r="C24" s="12">
        <v>51955.286700000055</v>
      </c>
      <c r="D24" s="12">
        <v>1.2999999999999999E-3</v>
      </c>
      <c r="E24" s="42">
        <f t="shared" si="0"/>
        <v>3.4993867918270674</v>
      </c>
      <c r="F24" s="42">
        <f t="shared" si="1"/>
        <v>3.5</v>
      </c>
      <c r="G24" s="42">
        <f t="shared" si="2"/>
        <v>-6.8799994915025309E-4</v>
      </c>
      <c r="K24" s="42">
        <f t="shared" si="3"/>
        <v>-6.8799994915025309E-4</v>
      </c>
      <c r="O24" s="42">
        <f t="shared" ca="1" si="4"/>
        <v>-4.1614618385972586E-2</v>
      </c>
      <c r="Q24" s="45">
        <f t="shared" si="5"/>
        <v>36936.786700000055</v>
      </c>
    </row>
    <row r="25" spans="1:17" s="42" customFormat="1" ht="12" customHeight="1" x14ac:dyDescent="0.2">
      <c r="A25" s="10" t="s">
        <v>32</v>
      </c>
      <c r="B25" s="13" t="s">
        <v>29</v>
      </c>
      <c r="C25" s="12">
        <v>51955.287700000001</v>
      </c>
      <c r="D25" s="12">
        <v>2.0000000000000001E-4</v>
      </c>
      <c r="E25" s="42">
        <f t="shared" si="0"/>
        <v>3.5002780827958242</v>
      </c>
      <c r="F25" s="42">
        <f t="shared" si="1"/>
        <v>3.5</v>
      </c>
      <c r="G25" s="42">
        <f t="shared" si="2"/>
        <v>3.1199999648379162E-4</v>
      </c>
      <c r="K25" s="42">
        <f t="shared" si="3"/>
        <v>3.1199999648379162E-4</v>
      </c>
      <c r="O25" s="42">
        <f t="shared" ca="1" si="4"/>
        <v>-4.1614618385972586E-2</v>
      </c>
      <c r="Q25" s="45">
        <f t="shared" si="5"/>
        <v>36936.787700000001</v>
      </c>
    </row>
    <row r="26" spans="1:17" s="42" customFormat="1" ht="12" customHeight="1" x14ac:dyDescent="0.2">
      <c r="A26" s="10" t="s">
        <v>28</v>
      </c>
      <c r="B26" s="13" t="s">
        <v>29</v>
      </c>
      <c r="C26" s="12">
        <v>51965.386100000003</v>
      </c>
      <c r="D26" s="12">
        <v>1E-4</v>
      </c>
      <c r="E26" s="42">
        <f t="shared" si="0"/>
        <v>12.50089129101797</v>
      </c>
      <c r="F26" s="42">
        <f t="shared" si="1"/>
        <v>12.5</v>
      </c>
      <c r="G26" s="42">
        <f t="shared" si="2"/>
        <v>1.0000000038417056E-3</v>
      </c>
      <c r="K26" s="42">
        <f t="shared" si="3"/>
        <v>1.0000000038417056E-3</v>
      </c>
      <c r="O26" s="42">
        <f t="shared" ca="1" si="4"/>
        <v>-4.1485856752196099E-2</v>
      </c>
      <c r="Q26" s="45">
        <f t="shared" si="5"/>
        <v>36946.886100000003</v>
      </c>
    </row>
    <row r="27" spans="1:17" s="42" customFormat="1" ht="12" customHeight="1" x14ac:dyDescent="0.2">
      <c r="A27" s="14" t="s">
        <v>35</v>
      </c>
      <c r="B27" s="13" t="s">
        <v>29</v>
      </c>
      <c r="C27" s="12">
        <v>51965.386400000192</v>
      </c>
      <c r="D27" s="12">
        <v>5.9999999999999995E-4</v>
      </c>
      <c r="E27" s="42">
        <f t="shared" si="0"/>
        <v>12.501158678491473</v>
      </c>
      <c r="F27" s="42">
        <f t="shared" si="1"/>
        <v>12.5</v>
      </c>
      <c r="G27" s="42">
        <f t="shared" si="2"/>
        <v>1.3000001927139238E-3</v>
      </c>
      <c r="K27" s="42">
        <f t="shared" si="3"/>
        <v>1.3000001927139238E-3</v>
      </c>
      <c r="O27" s="42">
        <f t="shared" ca="1" si="4"/>
        <v>-4.1485856752196099E-2</v>
      </c>
      <c r="Q27" s="45">
        <f t="shared" si="5"/>
        <v>36946.886400000192</v>
      </c>
    </row>
    <row r="28" spans="1:17" s="42" customFormat="1" ht="12" customHeight="1" x14ac:dyDescent="0.2">
      <c r="A28" s="10" t="s">
        <v>28</v>
      </c>
      <c r="B28" s="11"/>
      <c r="C28" s="12">
        <v>53673.578500000003</v>
      </c>
      <c r="D28" s="12">
        <v>4.0000000000000002E-4</v>
      </c>
      <c r="E28" s="42">
        <f t="shared" si="0"/>
        <v>1534.9974330818709</v>
      </c>
      <c r="F28" s="42">
        <f t="shared" si="1"/>
        <v>1535</v>
      </c>
      <c r="G28" s="42">
        <f t="shared" si="2"/>
        <v>-2.8800000000046566E-3</v>
      </c>
      <c r="K28" s="42">
        <f t="shared" si="3"/>
        <v>-2.8800000000046566E-3</v>
      </c>
      <c r="O28" s="42">
        <f t="shared" ca="1" si="4"/>
        <v>-1.9703680371673561E-2</v>
      </c>
      <c r="Q28" s="45">
        <f t="shared" si="5"/>
        <v>38655.078500000003</v>
      </c>
    </row>
    <row r="29" spans="1:17" s="42" customFormat="1" ht="12" customHeight="1" x14ac:dyDescent="0.2">
      <c r="A29" s="12" t="s">
        <v>42</v>
      </c>
      <c r="B29" s="13" t="s">
        <v>31</v>
      </c>
      <c r="C29" s="12">
        <v>54888.6757</v>
      </c>
      <c r="D29" s="12">
        <v>6.9999999999999999E-4</v>
      </c>
      <c r="E29" s="42">
        <f t="shared" si="0"/>
        <v>2618.0026524820646</v>
      </c>
      <c r="F29" s="42">
        <f t="shared" si="1"/>
        <v>2618</v>
      </c>
      <c r="G29" s="42">
        <f t="shared" si="2"/>
        <v>2.9759999961243011E-3</v>
      </c>
      <c r="K29" s="42">
        <f t="shared" si="3"/>
        <v>2.9759999961243011E-3</v>
      </c>
      <c r="O29" s="42">
        <f t="shared" ca="1" si="4"/>
        <v>-4.2093637739028522E-3</v>
      </c>
      <c r="Q29" s="45">
        <f t="shared" si="5"/>
        <v>39870.1757</v>
      </c>
    </row>
    <row r="30" spans="1:17" s="42" customFormat="1" ht="12" customHeight="1" x14ac:dyDescent="0.2">
      <c r="A30" s="12" t="s">
        <v>45</v>
      </c>
      <c r="B30" s="13" t="s">
        <v>29</v>
      </c>
      <c r="C30" s="12">
        <v>55978.671900000001</v>
      </c>
      <c r="D30" s="12">
        <v>5.9999999999999995E-4</v>
      </c>
      <c r="E30" s="42">
        <f t="shared" ref="E30:E35" si="6">+(C30-C$7)/C$8</f>
        <v>3589.5064743379476</v>
      </c>
      <c r="F30" s="42">
        <f t="shared" si="1"/>
        <v>3589.5</v>
      </c>
      <c r="G30" s="42">
        <f t="shared" ref="G30:G35" si="7">+C30-(C$7+F30*C$8)</f>
        <v>7.2639999998500571E-3</v>
      </c>
      <c r="K30" s="42">
        <f t="shared" si="3"/>
        <v>7.2639999998500571E-3</v>
      </c>
      <c r="O30" s="42">
        <f t="shared" ref="O30:O35" ca="1" si="8">+C$11+C$12*$F30</f>
        <v>9.6897392498591431E-3</v>
      </c>
      <c r="Q30" s="45">
        <f t="shared" ref="Q30:Q35" si="9">+C30-15018.5</f>
        <v>40960.171900000001</v>
      </c>
    </row>
    <row r="31" spans="1:17" s="42" customFormat="1" ht="12" customHeight="1" x14ac:dyDescent="0.2">
      <c r="A31" s="10" t="s">
        <v>46</v>
      </c>
      <c r="B31" s="13" t="s">
        <v>31</v>
      </c>
      <c r="C31" s="12">
        <v>56266.462140000003</v>
      </c>
      <c r="D31" s="12">
        <v>4.0000000000000002E-4</v>
      </c>
      <c r="E31" s="42">
        <f t="shared" si="6"/>
        <v>3846.0113300914113</v>
      </c>
      <c r="F31" s="42">
        <f t="shared" si="1"/>
        <v>3846</v>
      </c>
      <c r="G31" s="42">
        <f t="shared" si="7"/>
        <v>1.2712000003375579E-2</v>
      </c>
      <c r="K31" s="42">
        <f t="shared" si="3"/>
        <v>1.2712000003375579E-2</v>
      </c>
      <c r="O31" s="42">
        <f t="shared" ca="1" si="8"/>
        <v>1.3359445812489053E-2</v>
      </c>
      <c r="Q31" s="45">
        <f t="shared" si="9"/>
        <v>41247.962140000003</v>
      </c>
    </row>
    <row r="32" spans="1:17" s="42" customFormat="1" ht="12" customHeight="1" x14ac:dyDescent="0.2">
      <c r="A32" s="32" t="s">
        <v>47</v>
      </c>
      <c r="B32" s="33" t="s">
        <v>31</v>
      </c>
      <c r="C32" s="12">
        <v>57096.730300000003</v>
      </c>
      <c r="D32" s="12">
        <v>2.0000000000000001E-4</v>
      </c>
      <c r="E32" s="42">
        <f t="shared" si="6"/>
        <v>4586.0218829770547</v>
      </c>
      <c r="F32" s="42">
        <f>ROUND(2*E32,0)/2</f>
        <v>4586</v>
      </c>
      <c r="G32" s="42">
        <f t="shared" si="7"/>
        <v>2.4552000002586283E-2</v>
      </c>
      <c r="K32" s="42">
        <f t="shared" si="3"/>
        <v>2.4552000002586283E-2</v>
      </c>
      <c r="O32" s="42">
        <f t="shared" ca="1" si="8"/>
        <v>2.3946513478555836E-2</v>
      </c>
      <c r="Q32" s="45">
        <f t="shared" si="9"/>
        <v>42078.230300000003</v>
      </c>
    </row>
    <row r="33" spans="1:17" s="42" customFormat="1" ht="12" customHeight="1" x14ac:dyDescent="0.2">
      <c r="A33" s="32" t="s">
        <v>48</v>
      </c>
      <c r="B33" s="33" t="s">
        <v>31</v>
      </c>
      <c r="C33" s="12">
        <v>57445.666799999999</v>
      </c>
      <c r="D33" s="12">
        <v>1E-4</v>
      </c>
      <c r="E33" s="42">
        <f t="shared" si="6"/>
        <v>4897.0258510046597</v>
      </c>
      <c r="F33" s="42">
        <f>ROUND(2*E33,0)/2</f>
        <v>4897</v>
      </c>
      <c r="G33" s="42">
        <f t="shared" si="7"/>
        <v>2.9003999996348284E-2</v>
      </c>
      <c r="K33" s="42">
        <f t="shared" si="3"/>
        <v>2.9003999996348284E-2</v>
      </c>
      <c r="O33" s="42">
        <f t="shared" ca="1" si="8"/>
        <v>2.8395943267943355E-2</v>
      </c>
      <c r="Q33" s="45">
        <f t="shared" si="9"/>
        <v>42427.166799999999</v>
      </c>
    </row>
    <row r="34" spans="1:17" s="42" customFormat="1" ht="12" customHeight="1" x14ac:dyDescent="0.2">
      <c r="A34" s="34" t="s">
        <v>56</v>
      </c>
      <c r="B34" s="35" t="s">
        <v>31</v>
      </c>
      <c r="C34" s="36">
        <v>57813.677000000003</v>
      </c>
      <c r="D34" s="36">
        <v>2.0000000000000001E-4</v>
      </c>
      <c r="E34" s="42">
        <f t="shared" si="6"/>
        <v>5225.0300365072808</v>
      </c>
      <c r="F34" s="42">
        <f>ROUND(2*E34,0)/2</f>
        <v>5225</v>
      </c>
      <c r="G34" s="42">
        <f t="shared" si="7"/>
        <v>3.3699999999953434E-2</v>
      </c>
      <c r="K34" s="42">
        <f>+G34</f>
        <v>3.3699999999953434E-2</v>
      </c>
      <c r="O34" s="42">
        <f t="shared" ca="1" si="8"/>
        <v>3.308858947668647E-2</v>
      </c>
      <c r="Q34" s="45">
        <f t="shared" si="9"/>
        <v>42795.177000000003</v>
      </c>
    </row>
    <row r="35" spans="1:17" s="42" customFormat="1" ht="12" customHeight="1" x14ac:dyDescent="0.2">
      <c r="A35" s="37" t="s">
        <v>57</v>
      </c>
      <c r="B35" s="38" t="s">
        <v>29</v>
      </c>
      <c r="C35" s="39">
        <v>57798.533139999956</v>
      </c>
      <c r="D35" s="39">
        <v>6.9999999999999999E-4</v>
      </c>
      <c r="E35" s="42">
        <f t="shared" si="6"/>
        <v>5211.5324501233126</v>
      </c>
      <c r="F35" s="42">
        <f>ROUND(2*E35,0)/2</f>
        <v>5211.5</v>
      </c>
      <c r="G35" s="42">
        <f t="shared" si="7"/>
        <v>3.6407999956281856E-2</v>
      </c>
      <c r="K35" s="42">
        <f>+G35</f>
        <v>3.6407999956281856E-2</v>
      </c>
      <c r="O35" s="42">
        <f t="shared" ca="1" si="8"/>
        <v>3.2895447026021735E-2</v>
      </c>
      <c r="Q35" s="45">
        <f t="shared" si="9"/>
        <v>42780.033139999956</v>
      </c>
    </row>
    <row r="36" spans="1:17" s="42" customFormat="1" ht="12" customHeight="1" x14ac:dyDescent="0.2">
      <c r="A36" s="40" t="s">
        <v>58</v>
      </c>
      <c r="B36" s="41" t="s">
        <v>29</v>
      </c>
      <c r="C36" s="46">
        <v>59907.854099999997</v>
      </c>
      <c r="D36" s="47">
        <v>8.9999999999999998E-4</v>
      </c>
      <c r="E36" s="42">
        <f t="shared" ref="E36" si="10">+(C36-C$7)/C$8</f>
        <v>7091.5512741896327</v>
      </c>
      <c r="F36" s="42">
        <f>ROUND(2*E36,0)/2</f>
        <v>7091.5</v>
      </c>
      <c r="G36" s="42">
        <f t="shared" ref="G36" si="11">+C36-(C$7+F36*C$8)</f>
        <v>5.7527999990270473E-2</v>
      </c>
      <c r="K36" s="42">
        <f>+G36</f>
        <v>5.7527999990270473E-2</v>
      </c>
      <c r="O36" s="42">
        <f t="shared" ref="O36" ca="1" si="12">+C$11+C$12*$F36</f>
        <v>5.9792321637110318E-2</v>
      </c>
      <c r="Q36" s="45">
        <f t="shared" ref="Q36" si="13">+C36-15018.5</f>
        <v>44889.354099999997</v>
      </c>
    </row>
    <row r="37" spans="1:17" s="42" customFormat="1" ht="12" customHeight="1" x14ac:dyDescent="0.2">
      <c r="C37" s="44"/>
      <c r="D37" s="44"/>
    </row>
    <row r="38" spans="1:17" s="42" customFormat="1" ht="12" customHeight="1" x14ac:dyDescent="0.2">
      <c r="C38" s="44"/>
      <c r="D38" s="44"/>
    </row>
    <row r="39" spans="1:17" s="42" customFormat="1" ht="12" customHeight="1" x14ac:dyDescent="0.2">
      <c r="C39" s="44"/>
      <c r="D39" s="44"/>
    </row>
    <row r="40" spans="1:17" s="42" customFormat="1" ht="12" customHeight="1" x14ac:dyDescent="0.2">
      <c r="C40" s="44"/>
      <c r="D40" s="44"/>
    </row>
    <row r="41" spans="1:17" s="42" customFormat="1" ht="12" customHeight="1" x14ac:dyDescent="0.2">
      <c r="C41" s="44"/>
      <c r="D41" s="44"/>
    </row>
    <row r="42" spans="1:17" s="42" customFormat="1" ht="12" customHeight="1" x14ac:dyDescent="0.2">
      <c r="C42" s="44"/>
      <c r="D42" s="44"/>
    </row>
    <row r="43" spans="1:17" s="42" customFormat="1" ht="12" customHeight="1" x14ac:dyDescent="0.2">
      <c r="C43" s="44"/>
      <c r="D43" s="44"/>
    </row>
    <row r="44" spans="1:17" s="42" customFormat="1" ht="12" customHeight="1" x14ac:dyDescent="0.2">
      <c r="C44" s="44"/>
      <c r="D44" s="44"/>
    </row>
    <row r="45" spans="1:17" s="42" customFormat="1" ht="12" customHeight="1" x14ac:dyDescent="0.2">
      <c r="C45" s="44"/>
      <c r="D45" s="44"/>
    </row>
    <row r="46" spans="1:17" s="42" customFormat="1" ht="12" customHeight="1" x14ac:dyDescent="0.2">
      <c r="C46" s="44"/>
      <c r="D46" s="44"/>
    </row>
    <row r="47" spans="1:17" s="42" customFormat="1" ht="12" customHeight="1" x14ac:dyDescent="0.2">
      <c r="C47" s="44"/>
      <c r="D47" s="44"/>
    </row>
    <row r="48" spans="1:17" s="42" customFormat="1" ht="12" customHeight="1" x14ac:dyDescent="0.2">
      <c r="C48" s="44"/>
      <c r="D48" s="44"/>
    </row>
    <row r="49" spans="3:4" s="42" customFormat="1" ht="12" customHeight="1" x14ac:dyDescent="0.2">
      <c r="C49" s="44"/>
      <c r="D49" s="44"/>
    </row>
    <row r="50" spans="3:4" s="42" customFormat="1" ht="12" customHeight="1" x14ac:dyDescent="0.2">
      <c r="C50" s="44"/>
      <c r="D50" s="44"/>
    </row>
    <row r="51" spans="3:4" s="42" customFormat="1" ht="12" customHeight="1" x14ac:dyDescent="0.2">
      <c r="C51" s="44"/>
      <c r="D51" s="44"/>
    </row>
    <row r="52" spans="3:4" s="42" customFormat="1" ht="12" customHeight="1" x14ac:dyDescent="0.2">
      <c r="C52" s="44"/>
      <c r="D52" s="44"/>
    </row>
    <row r="53" spans="3:4" s="42" customFormat="1" ht="12" customHeight="1" x14ac:dyDescent="0.2">
      <c r="C53" s="44"/>
      <c r="D53" s="44"/>
    </row>
    <row r="54" spans="3:4" s="42" customFormat="1" ht="12" customHeight="1" x14ac:dyDescent="0.2">
      <c r="C54" s="44"/>
      <c r="D54" s="44"/>
    </row>
    <row r="55" spans="3:4" s="42" customFormat="1" ht="12" customHeight="1" x14ac:dyDescent="0.2">
      <c r="C55" s="44"/>
      <c r="D55" s="44"/>
    </row>
    <row r="56" spans="3:4" s="42" customFormat="1" ht="12" customHeight="1" x14ac:dyDescent="0.2">
      <c r="C56" s="44"/>
      <c r="D56" s="44"/>
    </row>
    <row r="57" spans="3:4" s="42" customFormat="1" ht="12" customHeight="1" x14ac:dyDescent="0.2">
      <c r="C57" s="44"/>
      <c r="D57" s="44"/>
    </row>
    <row r="58" spans="3:4" s="42" customFormat="1" ht="12" customHeight="1" x14ac:dyDescent="0.2">
      <c r="C58" s="44"/>
      <c r="D58" s="44"/>
    </row>
    <row r="59" spans="3:4" s="42" customFormat="1" ht="12" customHeight="1" x14ac:dyDescent="0.2">
      <c r="C59" s="44"/>
      <c r="D59" s="44"/>
    </row>
    <row r="60" spans="3:4" s="42" customFormat="1" ht="12" customHeight="1" x14ac:dyDescent="0.2">
      <c r="C60" s="44"/>
      <c r="D60" s="44"/>
    </row>
    <row r="61" spans="3:4" s="42" customFormat="1" ht="12" customHeight="1" x14ac:dyDescent="0.2">
      <c r="C61" s="44"/>
      <c r="D61" s="44"/>
    </row>
    <row r="62" spans="3:4" s="42" customFormat="1" ht="12" customHeight="1" x14ac:dyDescent="0.2">
      <c r="C62" s="44"/>
      <c r="D62" s="44"/>
    </row>
    <row r="63" spans="3:4" s="42" customFormat="1" ht="12" customHeight="1" x14ac:dyDescent="0.2">
      <c r="C63" s="44"/>
      <c r="D63" s="44"/>
    </row>
    <row r="64" spans="3:4" s="42" customFormat="1" ht="12" customHeight="1" x14ac:dyDescent="0.2">
      <c r="C64" s="44"/>
      <c r="D64" s="44"/>
    </row>
    <row r="65" spans="3:4" s="42" customFormat="1" ht="12" customHeight="1" x14ac:dyDescent="0.2">
      <c r="C65" s="44"/>
      <c r="D65" s="44"/>
    </row>
    <row r="66" spans="3:4" s="42" customFormat="1" ht="12" customHeight="1" x14ac:dyDescent="0.2">
      <c r="C66" s="44"/>
      <c r="D66" s="44"/>
    </row>
    <row r="67" spans="3:4" s="42" customFormat="1" ht="12" customHeight="1" x14ac:dyDescent="0.2">
      <c r="C67" s="44"/>
      <c r="D67" s="44"/>
    </row>
    <row r="68" spans="3:4" s="42" customFormat="1" ht="12" customHeight="1" x14ac:dyDescent="0.2">
      <c r="C68" s="44"/>
      <c r="D68" s="44"/>
    </row>
    <row r="69" spans="3:4" s="42" customFormat="1" ht="12" customHeight="1" x14ac:dyDescent="0.2">
      <c r="C69" s="44"/>
      <c r="D69" s="44"/>
    </row>
    <row r="70" spans="3:4" s="42" customFormat="1" ht="12" customHeight="1" x14ac:dyDescent="0.2">
      <c r="C70" s="44"/>
      <c r="D70" s="44"/>
    </row>
    <row r="71" spans="3:4" s="42" customFormat="1" ht="12" customHeight="1" x14ac:dyDescent="0.2">
      <c r="C71" s="44"/>
      <c r="D71" s="44"/>
    </row>
    <row r="72" spans="3:4" s="42" customFormat="1" ht="12" customHeight="1" x14ac:dyDescent="0.2">
      <c r="C72" s="44"/>
      <c r="D72" s="44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</sheetData>
  <protectedRanges>
    <protectedRange sqref="A34:D35" name="Range1"/>
  </protectedRanges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2023-08-06T23:37:29Z</dcterms:modified>
</cp:coreProperties>
</file>