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640FBF6-E40C-482C-B02F-19832B603AB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48" i="1"/>
  <c r="F48" i="1" s="1"/>
  <c r="G48" i="1" s="1"/>
  <c r="K48" i="1" s="1"/>
  <c r="Q48" i="1"/>
  <c r="E49" i="1"/>
  <c r="F49" i="1"/>
  <c r="G49" i="1" s="1"/>
  <c r="K49" i="1" s="1"/>
  <c r="Q49" i="1"/>
  <c r="D9" i="1"/>
  <c r="C9" i="1"/>
  <c r="Q46" i="1"/>
  <c r="Q47" i="1"/>
  <c r="Q42" i="1"/>
  <c r="Q40" i="1"/>
  <c r="Q39" i="1"/>
  <c r="Q44" i="1"/>
  <c r="Q45" i="1"/>
  <c r="Q43" i="1"/>
  <c r="E46" i="1"/>
  <c r="F46" i="1"/>
  <c r="E25" i="1"/>
  <c r="F25" i="1"/>
  <c r="Q37" i="1"/>
  <c r="Q41" i="1"/>
  <c r="G12" i="2"/>
  <c r="C12" i="2"/>
  <c r="G17" i="2"/>
  <c r="C17" i="2"/>
  <c r="G11" i="2"/>
  <c r="C11" i="2"/>
  <c r="G16" i="2"/>
  <c r="C16" i="2"/>
  <c r="G15" i="2"/>
  <c r="C15" i="2"/>
  <c r="G14" i="2"/>
  <c r="C14" i="2"/>
  <c r="G13" i="2"/>
  <c r="C13" i="2"/>
  <c r="H12" i="2"/>
  <c r="D12" i="2"/>
  <c r="B12" i="2"/>
  <c r="A12" i="2"/>
  <c r="H17" i="2"/>
  <c r="B17" i="2"/>
  <c r="D17" i="2"/>
  <c r="A17" i="2"/>
  <c r="H11" i="2"/>
  <c r="D11" i="2"/>
  <c r="B11" i="2"/>
  <c r="A11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38" i="1"/>
  <c r="Q34" i="1"/>
  <c r="Q36" i="1"/>
  <c r="Q33" i="1"/>
  <c r="Q35" i="1"/>
  <c r="F16" i="1"/>
  <c r="C17" i="1"/>
  <c r="Q32" i="1"/>
  <c r="Q31" i="1"/>
  <c r="Q21" i="1"/>
  <c r="Q22" i="1"/>
  <c r="Q23" i="1"/>
  <c r="Q24" i="1"/>
  <c r="Q26" i="1"/>
  <c r="Q27" i="1"/>
  <c r="Q28" i="1"/>
  <c r="Q29" i="1"/>
  <c r="Q30" i="1"/>
  <c r="Q25" i="1"/>
  <c r="E12" i="2"/>
  <c r="E17" i="2"/>
  <c r="E13" i="2"/>
  <c r="E14" i="2"/>
  <c r="E33" i="1"/>
  <c r="F33" i="1"/>
  <c r="E44" i="1"/>
  <c r="F44" i="1"/>
  <c r="G44" i="1"/>
  <c r="K44" i="1" s="1"/>
  <c r="E38" i="1"/>
  <c r="F38" i="1"/>
  <c r="E30" i="1"/>
  <c r="F30" i="1" s="1"/>
  <c r="G30" i="1" s="1"/>
  <c r="K30" i="1" s="1"/>
  <c r="E22" i="1"/>
  <c r="F22" i="1"/>
  <c r="E35" i="1"/>
  <c r="F35" i="1"/>
  <c r="G35" i="1"/>
  <c r="K35" i="1" s="1"/>
  <c r="E27" i="1"/>
  <c r="F27" i="1" s="1"/>
  <c r="G27" i="1" s="1"/>
  <c r="J27" i="1" s="1"/>
  <c r="E40" i="1"/>
  <c r="F40" i="1" s="1"/>
  <c r="G40" i="1" s="1"/>
  <c r="K40" i="1" s="1"/>
  <c r="E32" i="1"/>
  <c r="F32" i="1" s="1"/>
  <c r="G32" i="1" s="1"/>
  <c r="K32" i="1" s="1"/>
  <c r="E24" i="1"/>
  <c r="F24" i="1" s="1"/>
  <c r="G24" i="1" s="1"/>
  <c r="J24" i="1" s="1"/>
  <c r="E45" i="1"/>
  <c r="F45" i="1" s="1"/>
  <c r="G45" i="1" s="1"/>
  <c r="K45" i="1" s="1"/>
  <c r="E47" i="1"/>
  <c r="F47" i="1" s="1"/>
  <c r="G47" i="1" s="1"/>
  <c r="K47" i="1" s="1"/>
  <c r="E37" i="1"/>
  <c r="F37" i="1"/>
  <c r="G37" i="1" s="1"/>
  <c r="J37" i="1" s="1"/>
  <c r="E29" i="1"/>
  <c r="F29" i="1" s="1"/>
  <c r="G29" i="1" s="1"/>
  <c r="K29" i="1" s="1"/>
  <c r="E21" i="1"/>
  <c r="F21" i="1" s="1"/>
  <c r="G21" i="1" s="1"/>
  <c r="J21" i="1" s="1"/>
  <c r="E34" i="1"/>
  <c r="F34" i="1"/>
  <c r="G34" i="1" s="1"/>
  <c r="J34" i="1" s="1"/>
  <c r="E26" i="1"/>
  <c r="F26" i="1" s="1"/>
  <c r="G26" i="1" s="1"/>
  <c r="J26" i="1" s="1"/>
  <c r="E39" i="1"/>
  <c r="F39" i="1"/>
  <c r="G39" i="1" s="1"/>
  <c r="K39" i="1" s="1"/>
  <c r="G46" i="1"/>
  <c r="K46" i="1"/>
  <c r="E41" i="1"/>
  <c r="F41" i="1" s="1"/>
  <c r="G41" i="1" s="1"/>
  <c r="J41" i="1" s="1"/>
  <c r="G33" i="1"/>
  <c r="K33" i="1" s="1"/>
  <c r="E31" i="1"/>
  <c r="F31" i="1" s="1"/>
  <c r="G31" i="1" s="1"/>
  <c r="K31" i="1" s="1"/>
  <c r="G25" i="1"/>
  <c r="K25" i="1"/>
  <c r="E23" i="1"/>
  <c r="F23" i="1"/>
  <c r="G23" i="1" s="1"/>
  <c r="J23" i="1" s="1"/>
  <c r="E43" i="1"/>
  <c r="F43" i="1"/>
  <c r="G43" i="1" s="1"/>
  <c r="K43" i="1" s="1"/>
  <c r="G38" i="1"/>
  <c r="J38" i="1" s="1"/>
  <c r="E36" i="1"/>
  <c r="F36" i="1"/>
  <c r="G36" i="1" s="1"/>
  <c r="J36" i="1" s="1"/>
  <c r="E28" i="1"/>
  <c r="F28" i="1"/>
  <c r="G28" i="1" s="1"/>
  <c r="J28" i="1" s="1"/>
  <c r="G22" i="1"/>
  <c r="J22" i="1"/>
  <c r="E42" i="1"/>
  <c r="F42" i="1"/>
  <c r="G42" i="1"/>
  <c r="K42" i="1"/>
  <c r="E11" i="2"/>
  <c r="E15" i="2"/>
  <c r="E16" i="2"/>
  <c r="C11" i="1"/>
  <c r="C12" i="1"/>
  <c r="O50" i="1" l="1"/>
  <c r="O49" i="1"/>
  <c r="O48" i="1"/>
  <c r="C16" i="1"/>
  <c r="D18" i="1" s="1"/>
  <c r="O27" i="1"/>
  <c r="O23" i="1"/>
  <c r="O42" i="1"/>
  <c r="O40" i="1"/>
  <c r="O25" i="1"/>
  <c r="O28" i="1"/>
  <c r="O44" i="1"/>
  <c r="O31" i="1"/>
  <c r="O46" i="1"/>
  <c r="O47" i="1"/>
  <c r="O37" i="1"/>
  <c r="O43" i="1"/>
  <c r="O38" i="1"/>
  <c r="O39" i="1"/>
  <c r="O41" i="1"/>
  <c r="O35" i="1"/>
  <c r="O45" i="1"/>
  <c r="O36" i="1"/>
  <c r="O33" i="1"/>
  <c r="O21" i="1"/>
  <c r="O22" i="1"/>
  <c r="O30" i="1"/>
  <c r="O34" i="1"/>
  <c r="C15" i="1"/>
  <c r="F18" i="1" s="1"/>
  <c r="O24" i="1"/>
  <c r="O26" i="1"/>
  <c r="O32" i="1"/>
  <c r="O29" i="1"/>
  <c r="F17" i="1"/>
  <c r="F19" i="1" l="1"/>
  <c r="C18" i="1"/>
</calcChain>
</file>

<file path=xl/sharedStrings.xml><?xml version="1.0" encoding="utf-8"?>
<sst xmlns="http://schemas.openxmlformats.org/spreadsheetml/2006/main" count="172" uniqueCount="104">
  <si>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</si>
  <si>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</si>
  <si>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</si>
  <si>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</si>
  <si>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</si>
  <si>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</si>
  <si>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</si>
  <si>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</si>
  <si>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</si>
  <si>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</si>
  <si>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</si>
  <si>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</si>
  <si>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</si>
  <si>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</si>
  <si>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</si>
  <si>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</si>
  <si>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</si>
  <si>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</si>
  <si>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</si>
  <si>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</si>
  <si>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</si>
  <si>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</si>
  <si>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</si>
  <si>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</si>
  <si>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</si>
  <si>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</si>
  <si>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</si>
  <si>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</si>
  <si>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</si>
  <si>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</si>
  <si>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</si>
  <si>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</si>
  <si>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</si>
  <si>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</si>
  <si>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</si>
  <si>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</si>
  <si>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</si>
  <si>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</si>
  <si>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IBVS 5781</t>
  </si>
  <si>
    <t>II</t>
  </si>
  <si>
    <t>I</t>
  </si>
  <si>
    <t>IBVS 5713</t>
  </si>
  <si>
    <t>IBVS 5929</t>
  </si>
  <si>
    <t>IBVS 5920</t>
  </si>
  <si>
    <t>Add cycle</t>
  </si>
  <si>
    <t>Old Cycle</t>
  </si>
  <si>
    <t>GG CVn / GSC 2544-1090</t>
  </si>
  <si>
    <t>IBVS 6029</t>
  </si>
  <si>
    <t>IBVS 6070</t>
  </si>
  <si>
    <t>IBVS 6084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</si>
  <si>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</si>
  <si>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</si>
  <si>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</si>
  <si>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</si>
  <si>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</si>
  <si>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</si>
  <si>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</si>
  <si>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</si>
  <si>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</si>
  <si>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</si>
  <si>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</si>
  <si>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</si>
  <si>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</si>
  <si>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2456002.9185 </t>
  </si>
  <si>
    <t> 16.03.2012 10:02 </t>
  </si>
  <si>
    <t> 0.0000 </t>
  </si>
  <si>
    <t>C </t>
  </si>
  <si>
    <t> R.Diethelm </t>
  </si>
  <si>
    <t>IBVS 6029 </t>
  </si>
  <si>
    <t>2456069.4979 </t>
  </si>
  <si>
    <t> 21.05.2012 23:56 </t>
  </si>
  <si>
    <t> 0.0032 </t>
  </si>
  <si>
    <t>-I</t>
  </si>
  <si>
    <t> F.Agerer </t>
  </si>
  <si>
    <t>BAVM 231 </t>
  </si>
  <si>
    <t>2456085.7061 </t>
  </si>
  <si>
    <t> 07.06.2012 04:56 </t>
  </si>
  <si>
    <t>214.5</t>
  </si>
  <si>
    <t> 0.0015 </t>
  </si>
  <si>
    <t>2456418.3903 </t>
  </si>
  <si>
    <t> 05.05.2013 21:22 </t>
  </si>
  <si>
    <t>1076.5</t>
  </si>
  <si>
    <t> -0.0025 </t>
  </si>
  <si>
    <t>BAVM 232 </t>
  </si>
  <si>
    <t>2457066.975 </t>
  </si>
  <si>
    <t> 13.02.2015 11:24 </t>
  </si>
  <si>
    <t>2757</t>
  </si>
  <si>
    <t> -0.005 </t>
  </si>
  <si>
    <t> W.Moschner &amp; P.Frank </t>
  </si>
  <si>
    <t>BAVM 241 (=IBVS 6157) </t>
  </si>
  <si>
    <t>2457069.4820 </t>
  </si>
  <si>
    <t> 15.02.2015 23:34 </t>
  </si>
  <si>
    <t>2763.5</t>
  </si>
  <si>
    <t> -0.0071 </t>
  </si>
  <si>
    <t>o</t>
  </si>
  <si>
    <t>BAVM 239 </t>
  </si>
  <si>
    <t>2457122.3578 </t>
  </si>
  <si>
    <t> 09.04.2015 20:35 </t>
  </si>
  <si>
    <t>2900.5</t>
  </si>
  <si>
    <t> -0.0064 </t>
  </si>
  <si>
    <t>BAD?</t>
  </si>
  <si>
    <t>OEJV 0179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</si>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</sst>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2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8" xfId="0" applyFont="1" applyBorder="1" applyAlignment="1">
      <alignment horizontal="center"/>
    </xf>
    <xf numFmtId="0" fontId="34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2544-1090 -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8-4CA3-A81B-60D6006F30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8-4CA3-A81B-60D6006F30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-5.66999995498918E-4</c:v>
                </c:pt>
                <c:pt idx="1">
                  <c:v>-2.9199999698903412E-4</c:v>
                </c:pt>
                <c:pt idx="2">
                  <c:v>-1.1809999923571013E-3</c:v>
                </c:pt>
                <c:pt idx="3">
                  <c:v>7.7299999975366518E-4</c:v>
                </c:pt>
                <c:pt idx="5">
                  <c:v>5.0000000192085281E-4</c:v>
                </c:pt>
                <c:pt idx="6">
                  <c:v>4.0900000021792948E-4</c:v>
                </c:pt>
                <c:pt idx="7">
                  <c:v>2.7900000713998452E-4</c:v>
                </c:pt>
                <c:pt idx="13">
                  <c:v>2.5154000002657995E-2</c:v>
                </c:pt>
                <c:pt idx="15">
                  <c:v>2.2369999998772983E-2</c:v>
                </c:pt>
                <c:pt idx="16">
                  <c:v>2.4816999997710809E-2</c:v>
                </c:pt>
                <c:pt idx="17">
                  <c:v>2.3168000006990042E-2</c:v>
                </c:pt>
                <c:pt idx="20">
                  <c:v>2.4365999997826293E-2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8-4CA3-A81B-60D6006F30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">
                  <c:v>0</c:v>
                </c:pt>
                <c:pt idx="8">
                  <c:v>-1.1829999930341728E-3</c:v>
                </c:pt>
                <c:pt idx="9">
                  <c:v>8.5140000010142103E-3</c:v>
                </c:pt>
                <c:pt idx="10">
                  <c:v>1.1153000006743241E-2</c:v>
                </c:pt>
                <c:pt idx="11">
                  <c:v>1.9379999997909181E-2</c:v>
                </c:pt>
                <c:pt idx="12">
                  <c:v>2.1439000003738329E-2</c:v>
                </c:pt>
                <c:pt idx="14">
                  <c:v>2.3622000007890165E-2</c:v>
                </c:pt>
                <c:pt idx="18">
                  <c:v>2.4013000002014451E-2</c:v>
                </c:pt>
                <c:pt idx="19">
                  <c:v>2.7398999998695217E-2</c:v>
                </c:pt>
                <c:pt idx="21">
                  <c:v>2.734999999665888E-2</c:v>
                </c:pt>
                <c:pt idx="22">
                  <c:v>2.6495999998587649E-2</c:v>
                </c:pt>
                <c:pt idx="23">
                  <c:v>2.6807000002008863E-2</c:v>
                </c:pt>
                <c:pt idx="24">
                  <c:v>2.6834000003873371E-2</c:v>
                </c:pt>
                <c:pt idx="25">
                  <c:v>2.3227000005135778E-2</c:v>
                </c:pt>
                <c:pt idx="26">
                  <c:v>2.2354000007908326E-2</c:v>
                </c:pt>
                <c:pt idx="27">
                  <c:v>1.7556999999214895E-2</c:v>
                </c:pt>
                <c:pt idx="28">
                  <c:v>1.6384000002290122E-2</c:v>
                </c:pt>
                <c:pt idx="29">
                  <c:v>2.4447000003419816E-2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8-4CA3-A81B-60D6006F30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8-4CA3-A81B-60D6006F30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8-4CA3-A81B-60D6006F30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8-4CA3-A81B-60D6006F30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2.8641791591040685E-2</c:v>
                </c:pt>
                <c:pt idx="1">
                  <c:v>2.8566048102697521E-2</c:v>
                </c:pt>
                <c:pt idx="2">
                  <c:v>2.8544373812187017E-2</c:v>
                </c:pt>
                <c:pt idx="3">
                  <c:v>2.8497296320970648E-2</c:v>
                </c:pt>
                <c:pt idx="4">
                  <c:v>2.8497063264083439E-2</c:v>
                </c:pt>
                <c:pt idx="5">
                  <c:v>2.8497063264083439E-2</c:v>
                </c:pt>
                <c:pt idx="6">
                  <c:v>2.8481448452640386E-2</c:v>
                </c:pt>
                <c:pt idx="7">
                  <c:v>2.8479117883768289E-2</c:v>
                </c:pt>
                <c:pt idx="8">
                  <c:v>2.7921179695788178E-2</c:v>
                </c:pt>
                <c:pt idx="9">
                  <c:v>2.7685559182819133E-2</c:v>
                </c:pt>
                <c:pt idx="10">
                  <c:v>2.6786658768851175E-2</c:v>
                </c:pt>
                <c:pt idx="11">
                  <c:v>2.6669897268359097E-2</c:v>
                </c:pt>
                <c:pt idx="12">
                  <c:v>2.5477345176506867E-2</c:v>
                </c:pt>
                <c:pt idx="13">
                  <c:v>2.5396940550419508E-2</c:v>
                </c:pt>
                <c:pt idx="14">
                  <c:v>2.5377363771893889E-2</c:v>
                </c:pt>
                <c:pt idx="15">
                  <c:v>2.4975573698344303E-2</c:v>
                </c:pt>
                <c:pt idx="16">
                  <c:v>2.4192269500432372E-2</c:v>
                </c:pt>
                <c:pt idx="17">
                  <c:v>2.4189239760898647E-2</c:v>
                </c:pt>
                <c:pt idx="18">
                  <c:v>2.415311594338114E-2</c:v>
                </c:pt>
                <c:pt idx="19">
                  <c:v>2.4132606937306681E-2</c:v>
                </c:pt>
                <c:pt idx="20">
                  <c:v>2.4125382173803181E-2</c:v>
                </c:pt>
                <c:pt idx="21">
                  <c:v>2.4110932646796174E-2</c:v>
                </c:pt>
                <c:pt idx="22">
                  <c:v>2.3731516034418722E-2</c:v>
                </c:pt>
                <c:pt idx="23">
                  <c:v>2.3709841743908215E-2</c:v>
                </c:pt>
                <c:pt idx="24">
                  <c:v>2.3709608687021006E-2</c:v>
                </c:pt>
                <c:pt idx="25">
                  <c:v>2.3276355933698104E-2</c:v>
                </c:pt>
                <c:pt idx="26">
                  <c:v>2.3276122876810895E-2</c:v>
                </c:pt>
                <c:pt idx="27">
                  <c:v>2.1484148471055221E-2</c:v>
                </c:pt>
                <c:pt idx="28">
                  <c:v>2.1483915414168012E-2</c:v>
                </c:pt>
                <c:pt idx="29">
                  <c:v>2.1001720714531064E-2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8-4CA3-A81B-60D6006F30AD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58-4CA3-A81B-60D6006F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34296"/>
        <c:axId val="1"/>
      </c:scatterChart>
      <c:valAx>
        <c:axId val="58213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134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53064690443099"/>
          <c:w val="0.7368421052631577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363A8B-5A28-BAC6-FB18-0F0CB283E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6029" TargetMode="External"/><Relationship Id="rId6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24</v>
      </c>
      <c r="B2" t="s">
        <v>35</v>
      </c>
      <c r="C2" s="2"/>
      <c r="D2" s="2"/>
    </row>
    <row r="3" spans="1:6" ht="13.5" thickBot="1" x14ac:dyDescent="0.25"/>
    <row r="4" spans="1:6" ht="13.5" thickBot="1" x14ac:dyDescent="0.25">
      <c r="A4" s="27" t="s">
        <v>36</v>
      </c>
      <c r="C4" s="25">
        <v>53502.545899999997</v>
      </c>
      <c r="D4" s="26">
        <v>0.38594600000000001</v>
      </c>
    </row>
    <row r="5" spans="1:6" x14ac:dyDescent="0.2">
      <c r="A5" s="8" t="s">
        <v>29</v>
      </c>
      <c r="B5" s="9"/>
      <c r="C5" s="10">
        <v>-9.5</v>
      </c>
      <c r="D5" s="9" t="s">
        <v>30</v>
      </c>
    </row>
    <row r="6" spans="1:6" x14ac:dyDescent="0.2">
      <c r="A6" s="4" t="s">
        <v>2</v>
      </c>
    </row>
    <row r="7" spans="1:6" x14ac:dyDescent="0.2">
      <c r="A7" t="s">
        <v>3</v>
      </c>
      <c r="C7">
        <v>53502.545899999997</v>
      </c>
    </row>
    <row r="8" spans="1:6" x14ac:dyDescent="0.2">
      <c r="A8" t="s">
        <v>4</v>
      </c>
      <c r="C8">
        <v>0.38594600000000001</v>
      </c>
    </row>
    <row r="9" spans="1:6" x14ac:dyDescent="0.2">
      <c r="A9" s="23" t="s">
        <v>34</v>
      </c>
      <c r="B9" s="24">
        <v>33</v>
      </c>
      <c r="C9" s="21" t="str">
        <f>"F"&amp;B9</f>
        <v>F33</v>
      </c>
      <c r="D9" s="22" t="str">
        <f>"G"&amp;B9</f>
        <v>G33</v>
      </c>
    </row>
    <row r="10" spans="1:6" ht="13.5" thickBot="1" x14ac:dyDescent="0.25">
      <c r="A10" s="9"/>
      <c r="B10" s="9"/>
      <c r="C10" s="3" t="s">
        <v>20</v>
      </c>
      <c r="D10" s="3" t="s">
        <v>21</v>
      </c>
      <c r="E10" s="9"/>
    </row>
    <row r="11" spans="1:6" x14ac:dyDescent="0.2">
      <c r="A11" s="9" t="s">
        <v>16</v>
      </c>
      <c r="B11" s="9"/>
      <c r="C11" s="20">
        <f ca="1">INTERCEPT(INDIRECT($D$9):G992,INDIRECT($C$9):F992)</f>
        <v>2.8497063264083439E-2</v>
      </c>
      <c r="D11" s="2"/>
      <c r="E11" s="9"/>
    </row>
    <row r="12" spans="1:6" x14ac:dyDescent="0.2">
      <c r="A12" s="9" t="s">
        <v>17</v>
      </c>
      <c r="B12" s="9"/>
      <c r="C12" s="20">
        <f ca="1">SLOPE(INDIRECT($D$9):G992,INDIRECT($C$9):F992)</f>
        <v>-4.661137744194754E-7</v>
      </c>
      <c r="D12" s="2"/>
      <c r="E12" s="9"/>
    </row>
    <row r="13" spans="1:6" x14ac:dyDescent="0.2">
      <c r="A13" s="9" t="s">
        <v>19</v>
      </c>
      <c r="B13" s="9"/>
      <c r="C13" s="2" t="s">
        <v>14</v>
      </c>
    </row>
    <row r="14" spans="1:6" x14ac:dyDescent="0.2">
      <c r="A14" s="9"/>
      <c r="B14" s="9"/>
      <c r="C14" s="9"/>
    </row>
    <row r="15" spans="1:6" x14ac:dyDescent="0.2">
      <c r="A15" s="11" t="s">
        <v>18</v>
      </c>
      <c r="B15" s="9"/>
      <c r="C15" s="12">
        <f ca="1">(C7+C11)+(C8+C12)*INT(MAX(F21:F3533))</f>
        <v>59708.57858195377</v>
      </c>
      <c r="E15" s="13" t="s">
        <v>44</v>
      </c>
      <c r="F15" s="10">
        <v>1</v>
      </c>
    </row>
    <row r="16" spans="1:6" x14ac:dyDescent="0.2">
      <c r="A16" s="15" t="s">
        <v>5</v>
      </c>
      <c r="B16" s="9"/>
      <c r="C16" s="16">
        <f ca="1">+C8+C12</f>
        <v>0.3859455338862256</v>
      </c>
      <c r="E16" s="13" t="s">
        <v>31</v>
      </c>
      <c r="F16" s="14">
        <f ca="1">NOW()+15018.5+$C$5/24</f>
        <v>60162.872814814815</v>
      </c>
    </row>
    <row r="17" spans="1:21" ht="13.5" thickBot="1" x14ac:dyDescent="0.25">
      <c r="A17" s="13" t="s">
        <v>28</v>
      </c>
      <c r="B17" s="9"/>
      <c r="C17" s="9">
        <f>COUNT(C21:C2191)</f>
        <v>30</v>
      </c>
      <c r="E17" s="13" t="s">
        <v>45</v>
      </c>
      <c r="F17" s="14">
        <f ca="1">ROUND(2*(F16-$C$7)/$C$8,0)/2+F15</f>
        <v>17258</v>
      </c>
    </row>
    <row r="18" spans="1:21" ht="14.25" thickTop="1" thickBot="1" x14ac:dyDescent="0.25">
      <c r="A18" s="15" t="s">
        <v>6</v>
      </c>
      <c r="B18" s="9"/>
      <c r="C18" s="18">
        <f ca="1">+C15</f>
        <v>59708.57858195377</v>
      </c>
      <c r="D18" s="19">
        <f ca="1">+C16</f>
        <v>0.3859455338862256</v>
      </c>
      <c r="E18" s="13" t="s">
        <v>32</v>
      </c>
      <c r="F18" s="22">
        <f ca="1">ROUND(2*(F16-$C$15)/$C$16,0)/2+F15</f>
        <v>1178</v>
      </c>
    </row>
    <row r="19" spans="1:21" ht="13.5" thickTop="1" x14ac:dyDescent="0.2">
      <c r="E19" s="13" t="s">
        <v>33</v>
      </c>
      <c r="F19" s="17">
        <f ca="1">+$C$15+$C$16*F18-15018.5-$C$5/24</f>
        <v>45145.118254205081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59</v>
      </c>
      <c r="I20" s="6" t="s">
        <v>62</v>
      </c>
      <c r="J20" s="6" t="s">
        <v>56</v>
      </c>
      <c r="K20" s="6" t="s">
        <v>54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49" t="s">
        <v>100</v>
      </c>
    </row>
    <row r="21" spans="1:21" s="63" customFormat="1" ht="12" customHeight="1" x14ac:dyDescent="0.2">
      <c r="A21" s="63" t="s">
        <v>41</v>
      </c>
      <c r="B21" s="64" t="s">
        <v>39</v>
      </c>
      <c r="C21" s="65">
        <v>53382.7091</v>
      </c>
      <c r="D21" s="65">
        <v>6.9999999999999999E-4</v>
      </c>
      <c r="E21" s="63">
        <f t="shared" ref="E21:E45" si="0">+(C21-C$7)/C$8</f>
        <v>-310.50146911743434</v>
      </c>
      <c r="F21" s="63">
        <f t="shared" ref="F21:F47" si="1">ROUND(2*E21,0)/2</f>
        <v>-310.5</v>
      </c>
      <c r="G21" s="63">
        <f t="shared" ref="G21:G45" si="2">+C21-(C$7+F21*C$8)</f>
        <v>-5.66999995498918E-4</v>
      </c>
      <c r="J21" s="63">
        <f>+G21</f>
        <v>-5.66999995498918E-4</v>
      </c>
      <c r="O21" s="63">
        <f t="shared" ref="O21:O45" ca="1" si="3">+C$11+C$12*$F21</f>
        <v>2.8641791591040685E-2</v>
      </c>
      <c r="Q21" s="66">
        <f t="shared" ref="Q21:Q45" si="4">+C21-15018.5</f>
        <v>38364.2091</v>
      </c>
    </row>
    <row r="22" spans="1:21" s="63" customFormat="1" ht="12" customHeight="1" x14ac:dyDescent="0.2">
      <c r="A22" s="63" t="s">
        <v>41</v>
      </c>
      <c r="B22" s="64" t="s">
        <v>40</v>
      </c>
      <c r="C22" s="65">
        <v>53445.425600000002</v>
      </c>
      <c r="D22" s="65">
        <v>8.0000000000000004E-4</v>
      </c>
      <c r="E22" s="63">
        <f t="shared" si="0"/>
        <v>-148.00075658251424</v>
      </c>
      <c r="F22" s="63">
        <f t="shared" si="1"/>
        <v>-148</v>
      </c>
      <c r="G22" s="63">
        <f t="shared" si="2"/>
        <v>-2.9199999698903412E-4</v>
      </c>
      <c r="J22" s="63">
        <f>+G22</f>
        <v>-2.9199999698903412E-4</v>
      </c>
      <c r="O22" s="63">
        <f t="shared" ca="1" si="3"/>
        <v>2.8566048102697521E-2</v>
      </c>
      <c r="Q22" s="66">
        <f t="shared" si="4"/>
        <v>38426.925600000002</v>
      </c>
    </row>
    <row r="23" spans="1:21" s="63" customFormat="1" ht="12" customHeight="1" x14ac:dyDescent="0.2">
      <c r="A23" s="63" t="s">
        <v>41</v>
      </c>
      <c r="B23" s="64" t="s">
        <v>39</v>
      </c>
      <c r="C23" s="65">
        <v>53463.371200000001</v>
      </c>
      <c r="D23" s="65">
        <v>1.2999999999999999E-3</v>
      </c>
      <c r="E23" s="63">
        <f t="shared" si="0"/>
        <v>-101.5030600135665</v>
      </c>
      <c r="F23" s="63">
        <f t="shared" si="1"/>
        <v>-101.5</v>
      </c>
      <c r="G23" s="63">
        <f t="shared" si="2"/>
        <v>-1.1809999923571013E-3</v>
      </c>
      <c r="J23" s="63">
        <f>+G23</f>
        <v>-1.1809999923571013E-3</v>
      </c>
      <c r="O23" s="63">
        <f t="shared" ca="1" si="3"/>
        <v>2.8544373812187017E-2</v>
      </c>
      <c r="Q23" s="66">
        <f t="shared" si="4"/>
        <v>38444.871200000001</v>
      </c>
    </row>
    <row r="24" spans="1:21" s="63" customFormat="1" ht="12" customHeight="1" x14ac:dyDescent="0.2">
      <c r="A24" s="63" t="s">
        <v>41</v>
      </c>
      <c r="B24" s="64" t="s">
        <v>39</v>
      </c>
      <c r="C24" s="65">
        <v>53502.3537</v>
      </c>
      <c r="D24" s="65">
        <v>2.3E-3</v>
      </c>
      <c r="E24" s="63">
        <f t="shared" si="0"/>
        <v>-0.49799712912605215</v>
      </c>
      <c r="F24" s="63">
        <f t="shared" si="1"/>
        <v>-0.5</v>
      </c>
      <c r="G24" s="63">
        <f t="shared" si="2"/>
        <v>7.7299999975366518E-4</v>
      </c>
      <c r="J24" s="63">
        <f>+G24</f>
        <v>7.7299999975366518E-4</v>
      </c>
      <c r="O24" s="63">
        <f t="shared" ca="1" si="3"/>
        <v>2.8497296320970648E-2</v>
      </c>
      <c r="Q24" s="66">
        <f t="shared" si="4"/>
        <v>38483.8537</v>
      </c>
    </row>
    <row r="25" spans="1:21" s="63" customFormat="1" ht="12" customHeight="1" x14ac:dyDescent="0.2">
      <c r="A25" s="63" t="s">
        <v>37</v>
      </c>
      <c r="C25" s="65">
        <v>53502.545899999997</v>
      </c>
      <c r="D25" s="65" t="s">
        <v>14</v>
      </c>
      <c r="E25" s="63">
        <f t="shared" si="0"/>
        <v>0</v>
      </c>
      <c r="F25" s="63">
        <f t="shared" si="1"/>
        <v>0</v>
      </c>
      <c r="G25" s="63">
        <f t="shared" si="2"/>
        <v>0</v>
      </c>
      <c r="K25" s="63">
        <f>+G25</f>
        <v>0</v>
      </c>
      <c r="O25" s="63">
        <f t="shared" ca="1" si="3"/>
        <v>2.8497063264083439E-2</v>
      </c>
      <c r="Q25" s="66">
        <f t="shared" si="4"/>
        <v>38484.045899999997</v>
      </c>
    </row>
    <row r="26" spans="1:21" s="63" customFormat="1" ht="12" customHeight="1" x14ac:dyDescent="0.2">
      <c r="A26" s="63" t="s">
        <v>41</v>
      </c>
      <c r="B26" s="64" t="s">
        <v>40</v>
      </c>
      <c r="C26" s="65">
        <v>53502.546399999999</v>
      </c>
      <c r="D26" s="65">
        <v>2.3999999999999998E-3</v>
      </c>
      <c r="E26" s="63">
        <f t="shared" si="0"/>
        <v>1.2955180308148104E-3</v>
      </c>
      <c r="F26" s="63">
        <f t="shared" si="1"/>
        <v>0</v>
      </c>
      <c r="G26" s="63">
        <f t="shared" si="2"/>
        <v>5.0000000192085281E-4</v>
      </c>
      <c r="J26" s="63">
        <f>+G26</f>
        <v>5.0000000192085281E-4</v>
      </c>
      <c r="O26" s="63">
        <f t="shared" ca="1" si="3"/>
        <v>2.8497063264083439E-2</v>
      </c>
      <c r="Q26" s="66">
        <f t="shared" si="4"/>
        <v>38484.046399999999</v>
      </c>
    </row>
    <row r="27" spans="1:21" s="63" customFormat="1" ht="12" customHeight="1" x14ac:dyDescent="0.2">
      <c r="A27" s="63" t="s">
        <v>41</v>
      </c>
      <c r="B27" s="64" t="s">
        <v>39</v>
      </c>
      <c r="C27" s="65">
        <v>53515.4755</v>
      </c>
      <c r="D27" s="65">
        <v>1.2999999999999999E-3</v>
      </c>
      <c r="E27" s="63">
        <f t="shared" si="0"/>
        <v>33.501059733753216</v>
      </c>
      <c r="F27" s="63">
        <f t="shared" si="1"/>
        <v>33.5</v>
      </c>
      <c r="G27" s="63">
        <f t="shared" si="2"/>
        <v>4.0900000021792948E-4</v>
      </c>
      <c r="J27" s="63">
        <f>+G27</f>
        <v>4.0900000021792948E-4</v>
      </c>
      <c r="O27" s="63">
        <f t="shared" ca="1" si="3"/>
        <v>2.8481448452640386E-2</v>
      </c>
      <c r="Q27" s="66">
        <f t="shared" si="4"/>
        <v>38496.9755</v>
      </c>
    </row>
    <row r="28" spans="1:21" s="63" customFormat="1" ht="12" customHeight="1" x14ac:dyDescent="0.2">
      <c r="A28" s="63" t="s">
        <v>41</v>
      </c>
      <c r="B28" s="64" t="s">
        <v>39</v>
      </c>
      <c r="C28" s="65">
        <v>53517.405100000004</v>
      </c>
      <c r="D28" s="65">
        <v>6.9999999999999999E-4</v>
      </c>
      <c r="E28" s="63">
        <f t="shared" si="0"/>
        <v>38.500722899074582</v>
      </c>
      <c r="F28" s="63">
        <f t="shared" si="1"/>
        <v>38.5</v>
      </c>
      <c r="G28" s="63">
        <f t="shared" si="2"/>
        <v>2.7900000713998452E-4</v>
      </c>
      <c r="J28" s="63">
        <f>+G28</f>
        <v>2.7900000713998452E-4</v>
      </c>
      <c r="O28" s="63">
        <f t="shared" ca="1" si="3"/>
        <v>2.8479117883768289E-2</v>
      </c>
      <c r="Q28" s="66">
        <f t="shared" si="4"/>
        <v>38498.905100000004</v>
      </c>
    </row>
    <row r="29" spans="1:21" s="63" customFormat="1" ht="12" customHeight="1" x14ac:dyDescent="0.2">
      <c r="A29" s="28" t="s">
        <v>38</v>
      </c>
      <c r="B29" s="30" t="s">
        <v>39</v>
      </c>
      <c r="C29" s="31">
        <v>53979.381000000001</v>
      </c>
      <c r="D29" s="31">
        <v>3.0000000000000001E-3</v>
      </c>
      <c r="E29" s="63">
        <f t="shared" si="0"/>
        <v>1235.496934804361</v>
      </c>
      <c r="F29" s="63">
        <f t="shared" si="1"/>
        <v>1235.5</v>
      </c>
      <c r="G29" s="63">
        <f t="shared" si="2"/>
        <v>-1.1829999930341728E-3</v>
      </c>
      <c r="K29" s="63">
        <f>+G29</f>
        <v>-1.1829999930341728E-3</v>
      </c>
      <c r="O29" s="63">
        <f t="shared" ca="1" si="3"/>
        <v>2.7921179695788178E-2</v>
      </c>
      <c r="Q29" s="66">
        <f t="shared" si="4"/>
        <v>38960.881000000001</v>
      </c>
    </row>
    <row r="30" spans="1:21" s="63" customFormat="1" ht="12" customHeight="1" x14ac:dyDescent="0.2">
      <c r="A30" s="28" t="s">
        <v>38</v>
      </c>
      <c r="B30" s="30" t="s">
        <v>40</v>
      </c>
      <c r="C30" s="31">
        <v>54174.486400000002</v>
      </c>
      <c r="D30" s="31">
        <v>6.9999999999999999E-4</v>
      </c>
      <c r="E30" s="63">
        <f t="shared" si="0"/>
        <v>1741.0220600809548</v>
      </c>
      <c r="F30" s="63">
        <f t="shared" si="1"/>
        <v>1741</v>
      </c>
      <c r="G30" s="63">
        <f t="shared" si="2"/>
        <v>8.5140000010142103E-3</v>
      </c>
      <c r="K30" s="63">
        <f>+G30</f>
        <v>8.5140000010142103E-3</v>
      </c>
      <c r="O30" s="63">
        <f t="shared" ca="1" si="3"/>
        <v>2.7685559182819133E-2</v>
      </c>
      <c r="Q30" s="66">
        <f t="shared" si="4"/>
        <v>39155.986400000002</v>
      </c>
    </row>
    <row r="31" spans="1:21" s="63" customFormat="1" ht="12" customHeight="1" x14ac:dyDescent="0.2">
      <c r="A31" s="32" t="s">
        <v>42</v>
      </c>
      <c r="B31" s="33"/>
      <c r="C31" s="31">
        <v>54918.785900000003</v>
      </c>
      <c r="D31" s="31">
        <v>2.9999999999999997E-4</v>
      </c>
      <c r="E31" s="63">
        <f t="shared" si="0"/>
        <v>3669.5288978250978</v>
      </c>
      <c r="F31" s="63">
        <f t="shared" si="1"/>
        <v>3669.5</v>
      </c>
      <c r="G31" s="63">
        <f t="shared" si="2"/>
        <v>1.1153000006743241E-2</v>
      </c>
      <c r="K31" s="63">
        <f>+G31</f>
        <v>1.1153000006743241E-2</v>
      </c>
      <c r="O31" s="63">
        <f t="shared" ca="1" si="3"/>
        <v>2.6786658768851175E-2</v>
      </c>
      <c r="Q31" s="66">
        <f t="shared" si="4"/>
        <v>39900.285900000003</v>
      </c>
    </row>
    <row r="32" spans="1:21" s="63" customFormat="1" ht="12" customHeight="1" x14ac:dyDescent="0.2">
      <c r="A32" s="28" t="s">
        <v>43</v>
      </c>
      <c r="B32" s="29" t="s">
        <v>40</v>
      </c>
      <c r="C32" s="28">
        <v>55015.473599999998</v>
      </c>
      <c r="D32" s="28">
        <v>1.1000000000000001E-3</v>
      </c>
      <c r="E32" s="63">
        <f t="shared" si="0"/>
        <v>3920.0502142786818</v>
      </c>
      <c r="F32" s="63">
        <f t="shared" si="1"/>
        <v>3920</v>
      </c>
      <c r="G32" s="63">
        <f t="shared" si="2"/>
        <v>1.9379999997909181E-2</v>
      </c>
      <c r="K32" s="63">
        <f>+G32</f>
        <v>1.9379999997909181E-2</v>
      </c>
      <c r="O32" s="63">
        <f t="shared" ca="1" si="3"/>
        <v>2.6669897268359097E-2</v>
      </c>
      <c r="Q32" s="66">
        <f t="shared" si="4"/>
        <v>39996.973599999998</v>
      </c>
    </row>
    <row r="33" spans="1:17" s="63" customFormat="1" ht="12" customHeight="1" x14ac:dyDescent="0.2">
      <c r="A33" s="31" t="s">
        <v>47</v>
      </c>
      <c r="B33" s="30" t="s">
        <v>39</v>
      </c>
      <c r="C33" s="31">
        <v>56002.9185</v>
      </c>
      <c r="D33" s="31">
        <v>4.0000000000000002E-4</v>
      </c>
      <c r="E33" s="63">
        <f t="shared" si="0"/>
        <v>6478.5555492219182</v>
      </c>
      <c r="F33" s="63">
        <f t="shared" si="1"/>
        <v>6478.5</v>
      </c>
      <c r="G33" s="63">
        <f t="shared" si="2"/>
        <v>2.1439000003738329E-2</v>
      </c>
      <c r="K33" s="63">
        <f>+G33</f>
        <v>2.1439000003738329E-2</v>
      </c>
      <c r="O33" s="63">
        <f t="shared" ca="1" si="3"/>
        <v>2.5477345176506867E-2</v>
      </c>
      <c r="Q33" s="66">
        <f t="shared" si="4"/>
        <v>40984.4185</v>
      </c>
    </row>
    <row r="34" spans="1:17" s="63" customFormat="1" ht="12" customHeight="1" x14ac:dyDescent="0.2">
      <c r="A34" s="34" t="s">
        <v>48</v>
      </c>
      <c r="B34" s="30" t="s">
        <v>40</v>
      </c>
      <c r="C34" s="31">
        <v>56069.497900000002</v>
      </c>
      <c r="D34" s="31">
        <v>3.8E-3</v>
      </c>
      <c r="E34" s="63">
        <f t="shared" si="0"/>
        <v>6651.0651749208564</v>
      </c>
      <c r="F34" s="63">
        <f t="shared" si="1"/>
        <v>6651</v>
      </c>
      <c r="G34" s="63">
        <f t="shared" si="2"/>
        <v>2.5154000002657995E-2</v>
      </c>
      <c r="J34" s="63">
        <f>+G34</f>
        <v>2.5154000002657995E-2</v>
      </c>
      <c r="O34" s="63">
        <f t="shared" ca="1" si="3"/>
        <v>2.5396940550419508E-2</v>
      </c>
      <c r="Q34" s="66">
        <f t="shared" si="4"/>
        <v>41050.997900000002</v>
      </c>
    </row>
    <row r="35" spans="1:17" s="63" customFormat="1" ht="12" customHeight="1" x14ac:dyDescent="0.2">
      <c r="A35" s="31" t="s">
        <v>47</v>
      </c>
      <c r="B35" s="30" t="s">
        <v>40</v>
      </c>
      <c r="C35" s="31">
        <v>56085.706100000003</v>
      </c>
      <c r="D35" s="31">
        <v>2.0000000000000001E-4</v>
      </c>
      <c r="E35" s="63">
        <f t="shared" si="0"/>
        <v>6693.0612054536277</v>
      </c>
      <c r="F35" s="63">
        <f t="shared" si="1"/>
        <v>6693</v>
      </c>
      <c r="G35" s="63">
        <f t="shared" si="2"/>
        <v>2.3622000007890165E-2</v>
      </c>
      <c r="K35" s="63">
        <f>+G35</f>
        <v>2.3622000007890165E-2</v>
      </c>
      <c r="O35" s="63">
        <f t="shared" ca="1" si="3"/>
        <v>2.5377363771893889E-2</v>
      </c>
      <c r="Q35" s="66">
        <f t="shared" si="4"/>
        <v>41067.206100000003</v>
      </c>
    </row>
    <row r="36" spans="1:17" s="63" customFormat="1" ht="12" customHeight="1" x14ac:dyDescent="0.2">
      <c r="A36" s="31" t="s">
        <v>49</v>
      </c>
      <c r="B36" s="30" t="s">
        <v>40</v>
      </c>
      <c r="C36" s="31">
        <v>56418.390299999999</v>
      </c>
      <c r="D36" s="31">
        <v>9.1999999999999998E-3</v>
      </c>
      <c r="E36" s="63">
        <f t="shared" si="0"/>
        <v>7555.0579614764802</v>
      </c>
      <c r="F36" s="63">
        <f t="shared" si="1"/>
        <v>7555</v>
      </c>
      <c r="G36" s="63">
        <f t="shared" si="2"/>
        <v>2.2369999998772983E-2</v>
      </c>
      <c r="J36" s="63">
        <f>+G36</f>
        <v>2.2369999998772983E-2</v>
      </c>
      <c r="O36" s="63">
        <f t="shared" ca="1" si="3"/>
        <v>2.4975573698344303E-2</v>
      </c>
      <c r="Q36" s="66">
        <f t="shared" si="4"/>
        <v>41399.890299999999</v>
      </c>
    </row>
    <row r="37" spans="1:17" s="63" customFormat="1" ht="12" customHeight="1" x14ac:dyDescent="0.2">
      <c r="A37" s="31" t="s">
        <v>51</v>
      </c>
      <c r="B37" s="30"/>
      <c r="C37" s="31">
        <v>57066.974999999999</v>
      </c>
      <c r="D37" s="31">
        <v>1E-3</v>
      </c>
      <c r="E37" s="63">
        <f t="shared" si="0"/>
        <v>9235.5643017416969</v>
      </c>
      <c r="F37" s="63">
        <f t="shared" si="1"/>
        <v>9235.5</v>
      </c>
      <c r="G37" s="63">
        <f t="shared" si="2"/>
        <v>2.4816999997710809E-2</v>
      </c>
      <c r="J37" s="63">
        <f>+G37</f>
        <v>2.4816999997710809E-2</v>
      </c>
      <c r="O37" s="63">
        <f t="shared" ca="1" si="3"/>
        <v>2.4192269500432372E-2</v>
      </c>
      <c r="Q37" s="66">
        <f t="shared" si="4"/>
        <v>42048.474999999999</v>
      </c>
    </row>
    <row r="38" spans="1:17" s="63" customFormat="1" ht="12" customHeight="1" x14ac:dyDescent="0.2">
      <c r="A38" s="35" t="s">
        <v>50</v>
      </c>
      <c r="B38" s="30"/>
      <c r="C38" s="35">
        <v>57069.482000000004</v>
      </c>
      <c r="D38" s="35">
        <v>2.0000000000000001E-4</v>
      </c>
      <c r="E38" s="63">
        <f t="shared" si="0"/>
        <v>9242.0600291232604</v>
      </c>
      <c r="F38" s="63">
        <f t="shared" si="1"/>
        <v>9242</v>
      </c>
      <c r="G38" s="63">
        <f t="shared" si="2"/>
        <v>2.3168000006990042E-2</v>
      </c>
      <c r="J38" s="63">
        <f>+G38</f>
        <v>2.3168000006990042E-2</v>
      </c>
      <c r="O38" s="63">
        <f t="shared" ca="1" si="3"/>
        <v>2.4189239760898647E-2</v>
      </c>
      <c r="Q38" s="66">
        <f t="shared" si="4"/>
        <v>42050.982000000004</v>
      </c>
    </row>
    <row r="39" spans="1:17" s="63" customFormat="1" ht="12" customHeight="1" x14ac:dyDescent="0.2">
      <c r="A39" s="51" t="s">
        <v>101</v>
      </c>
      <c r="B39" s="52" t="s">
        <v>40</v>
      </c>
      <c r="C39" s="53">
        <v>57099.393660000002</v>
      </c>
      <c r="D39" s="53">
        <v>2.9999999999999997E-4</v>
      </c>
      <c r="E39" s="63">
        <f t="shared" si="0"/>
        <v>9319.5622185487191</v>
      </c>
      <c r="F39" s="63">
        <f t="shared" si="1"/>
        <v>9319.5</v>
      </c>
      <c r="G39" s="63">
        <f t="shared" si="2"/>
        <v>2.4013000002014451E-2</v>
      </c>
      <c r="K39" s="63">
        <f>+G39</f>
        <v>2.4013000002014451E-2</v>
      </c>
      <c r="O39" s="63">
        <f t="shared" ca="1" si="3"/>
        <v>2.415311594338114E-2</v>
      </c>
      <c r="Q39" s="66">
        <f t="shared" si="4"/>
        <v>42080.893660000002</v>
      </c>
    </row>
    <row r="40" spans="1:17" s="63" customFormat="1" ht="12" customHeight="1" x14ac:dyDescent="0.2">
      <c r="A40" s="51" t="s">
        <v>101</v>
      </c>
      <c r="B40" s="52" t="s">
        <v>40</v>
      </c>
      <c r="C40" s="53">
        <v>57116.378669999998</v>
      </c>
      <c r="D40" s="53">
        <v>4.0000000000000002E-4</v>
      </c>
      <c r="E40" s="63">
        <f t="shared" si="0"/>
        <v>9363.5709917967815</v>
      </c>
      <c r="F40" s="63">
        <f t="shared" si="1"/>
        <v>9363.5</v>
      </c>
      <c r="G40" s="63">
        <f t="shared" si="2"/>
        <v>2.7398999998695217E-2</v>
      </c>
      <c r="K40" s="63">
        <f>+G40</f>
        <v>2.7398999998695217E-2</v>
      </c>
      <c r="O40" s="63">
        <f t="shared" ca="1" si="3"/>
        <v>2.4132606937306681E-2</v>
      </c>
      <c r="Q40" s="66">
        <f t="shared" si="4"/>
        <v>42097.878669999998</v>
      </c>
    </row>
    <row r="41" spans="1:17" s="63" customFormat="1" ht="12" customHeight="1" x14ac:dyDescent="0.2">
      <c r="A41" s="31" t="s">
        <v>51</v>
      </c>
      <c r="B41" s="30"/>
      <c r="C41" s="31">
        <v>57122.357799999998</v>
      </c>
      <c r="D41" s="31">
        <v>5.0000000000000001E-4</v>
      </c>
      <c r="E41" s="63">
        <f t="shared" si="0"/>
        <v>9379.0631331844361</v>
      </c>
      <c r="F41" s="63">
        <f t="shared" si="1"/>
        <v>9379</v>
      </c>
      <c r="G41" s="63">
        <f t="shared" si="2"/>
        <v>2.4365999997826293E-2</v>
      </c>
      <c r="J41" s="63">
        <f>+G41</f>
        <v>2.4365999997826293E-2</v>
      </c>
      <c r="O41" s="63">
        <f t="shared" ca="1" si="3"/>
        <v>2.4125382173803181E-2</v>
      </c>
      <c r="Q41" s="66">
        <f t="shared" si="4"/>
        <v>42103.857799999998</v>
      </c>
    </row>
    <row r="42" spans="1:17" s="63" customFormat="1" ht="12" customHeight="1" x14ac:dyDescent="0.2">
      <c r="A42" s="51" t="s">
        <v>101</v>
      </c>
      <c r="B42" s="52" t="s">
        <v>39</v>
      </c>
      <c r="C42" s="53">
        <v>57134.325109999998</v>
      </c>
      <c r="D42" s="53">
        <v>5.9999999999999995E-4</v>
      </c>
      <c r="E42" s="63">
        <f t="shared" si="0"/>
        <v>9410.0708648360142</v>
      </c>
      <c r="F42" s="63">
        <f t="shared" si="1"/>
        <v>9410</v>
      </c>
      <c r="G42" s="63">
        <f t="shared" si="2"/>
        <v>2.734999999665888E-2</v>
      </c>
      <c r="K42" s="63">
        <f t="shared" ref="K42:K47" si="5">+G42</f>
        <v>2.734999999665888E-2</v>
      </c>
      <c r="O42" s="63">
        <f t="shared" ca="1" si="3"/>
        <v>2.4110932646796174E-2</v>
      </c>
      <c r="Q42" s="66">
        <f t="shared" si="4"/>
        <v>42115.825109999998</v>
      </c>
    </row>
    <row r="43" spans="1:17" s="63" customFormat="1" ht="12" customHeight="1" x14ac:dyDescent="0.2">
      <c r="A43" s="54" t="s">
        <v>1</v>
      </c>
      <c r="B43" s="55" t="s">
        <v>40</v>
      </c>
      <c r="C43" s="56">
        <v>57448.484299999996</v>
      </c>
      <c r="D43" s="56">
        <v>2.0000000000000001E-4</v>
      </c>
      <c r="E43" s="63">
        <f t="shared" si="0"/>
        <v>10224.068652091222</v>
      </c>
      <c r="F43" s="63">
        <f t="shared" si="1"/>
        <v>10224</v>
      </c>
      <c r="G43" s="63">
        <f t="shared" si="2"/>
        <v>2.6495999998587649E-2</v>
      </c>
      <c r="K43" s="63">
        <f t="shared" si="5"/>
        <v>2.6495999998587649E-2</v>
      </c>
      <c r="O43" s="63">
        <f t="shared" ca="1" si="3"/>
        <v>2.3731516034418722E-2</v>
      </c>
      <c r="Q43" s="66">
        <f t="shared" si="4"/>
        <v>42429.984299999996</v>
      </c>
    </row>
    <row r="44" spans="1:17" s="63" customFormat="1" ht="12" customHeight="1" x14ac:dyDescent="0.2">
      <c r="A44" s="54" t="s">
        <v>1</v>
      </c>
      <c r="B44" s="55" t="s">
        <v>40</v>
      </c>
      <c r="C44" s="56">
        <v>57466.431100000002</v>
      </c>
      <c r="D44" s="56">
        <v>2.0999999999999999E-3</v>
      </c>
      <c r="E44" s="63">
        <f t="shared" si="0"/>
        <v>10270.569457903448</v>
      </c>
      <c r="F44" s="63">
        <f t="shared" si="1"/>
        <v>10270.5</v>
      </c>
      <c r="G44" s="63">
        <f t="shared" si="2"/>
        <v>2.6807000002008863E-2</v>
      </c>
      <c r="K44" s="63">
        <f t="shared" si="5"/>
        <v>2.6807000002008863E-2</v>
      </c>
      <c r="O44" s="63">
        <f t="shared" ca="1" si="3"/>
        <v>2.3709841743908215E-2</v>
      </c>
      <c r="Q44" s="66">
        <f t="shared" si="4"/>
        <v>42447.931100000002</v>
      </c>
    </row>
    <row r="45" spans="1:17" s="63" customFormat="1" ht="12" customHeight="1" x14ac:dyDescent="0.2">
      <c r="A45" s="54" t="s">
        <v>1</v>
      </c>
      <c r="B45" s="55" t="s">
        <v>40</v>
      </c>
      <c r="C45" s="56">
        <v>57466.624100000001</v>
      </c>
      <c r="D45" s="56">
        <v>8.0000000000000004E-4</v>
      </c>
      <c r="E45" s="63">
        <f t="shared" si="0"/>
        <v>10271.06952786142</v>
      </c>
      <c r="F45" s="63">
        <f t="shared" si="1"/>
        <v>10271</v>
      </c>
      <c r="G45" s="63">
        <f t="shared" si="2"/>
        <v>2.6834000003873371E-2</v>
      </c>
      <c r="K45" s="63">
        <f t="shared" si="5"/>
        <v>2.6834000003873371E-2</v>
      </c>
      <c r="O45" s="63">
        <f t="shared" ca="1" si="3"/>
        <v>2.3709608687021006E-2</v>
      </c>
      <c r="Q45" s="66">
        <f t="shared" si="4"/>
        <v>42448.124100000001</v>
      </c>
    </row>
    <row r="46" spans="1:17" s="63" customFormat="1" ht="12" customHeight="1" x14ac:dyDescent="0.2">
      <c r="A46" s="50" t="s">
        <v>0</v>
      </c>
      <c r="B46" s="57" t="s">
        <v>40</v>
      </c>
      <c r="C46" s="57">
        <v>57825.357300000003</v>
      </c>
      <c r="D46" s="57">
        <v>4.0000000000000002E-4</v>
      </c>
      <c r="E46" s="63">
        <f>+(C46-C$7)/C$8</f>
        <v>11200.560181994388</v>
      </c>
      <c r="F46" s="63">
        <f t="shared" si="1"/>
        <v>11200.5</v>
      </c>
      <c r="G46" s="63">
        <f>+C46-(C$7+F46*C$8)</f>
        <v>2.3227000005135778E-2</v>
      </c>
      <c r="K46" s="63">
        <f t="shared" si="5"/>
        <v>2.3227000005135778E-2</v>
      </c>
      <c r="O46" s="63">
        <f ca="1">+C$11+C$12*$F46</f>
        <v>2.3276355933698104E-2</v>
      </c>
      <c r="Q46" s="66">
        <f>+C46-15018.5</f>
        <v>42806.857300000003</v>
      </c>
    </row>
    <row r="47" spans="1:17" s="63" customFormat="1" ht="12" customHeight="1" x14ac:dyDescent="0.2">
      <c r="A47" s="50" t="s">
        <v>0</v>
      </c>
      <c r="B47" s="57" t="s">
        <v>40</v>
      </c>
      <c r="C47" s="57">
        <v>57825.549400000004</v>
      </c>
      <c r="D47" s="57">
        <v>1E-3</v>
      </c>
      <c r="E47" s="63">
        <f>+(C47-C$7)/C$8</f>
        <v>11201.057920019915</v>
      </c>
      <c r="F47" s="63">
        <f t="shared" si="1"/>
        <v>11201</v>
      </c>
      <c r="G47" s="63">
        <f>+C47-(C$7+F47*C$8)</f>
        <v>2.2354000007908326E-2</v>
      </c>
      <c r="K47" s="63">
        <f t="shared" si="5"/>
        <v>2.2354000007908326E-2</v>
      </c>
      <c r="O47" s="63">
        <f ca="1">+C$11+C$12*$F47</f>
        <v>2.3276122876810895E-2</v>
      </c>
      <c r="Q47" s="66">
        <f>+C47-15018.5</f>
        <v>42807.049400000004</v>
      </c>
    </row>
    <row r="48" spans="1:17" s="63" customFormat="1" ht="12" customHeight="1" x14ac:dyDescent="0.2">
      <c r="A48" s="58" t="s">
        <v>102</v>
      </c>
      <c r="B48" s="59" t="s">
        <v>40</v>
      </c>
      <c r="C48" s="60">
        <v>59309.313999999998</v>
      </c>
      <c r="D48" s="58">
        <v>5.9999999999999995E-4</v>
      </c>
      <c r="E48" s="63">
        <f t="shared" ref="E48:E49" si="6">+(C48-C$7)/C$8</f>
        <v>15045.545490819963</v>
      </c>
      <c r="F48" s="63">
        <f t="shared" ref="F48:F49" si="7">ROUND(2*E48,0)/2</f>
        <v>15045.5</v>
      </c>
      <c r="G48" s="63">
        <f t="shared" ref="G48:G49" si="8">+C48-(C$7+F48*C$8)</f>
        <v>1.7556999999214895E-2</v>
      </c>
      <c r="K48" s="63">
        <f t="shared" ref="K48:K49" si="9">+G48</f>
        <v>1.7556999999214895E-2</v>
      </c>
      <c r="O48" s="63">
        <f t="shared" ref="O48:O49" ca="1" si="10">+C$11+C$12*$F48</f>
        <v>2.1484148471055221E-2</v>
      </c>
      <c r="Q48" s="66">
        <f t="shared" ref="Q48:Q49" si="11">+C48-15018.5</f>
        <v>44290.813999999998</v>
      </c>
    </row>
    <row r="49" spans="1:17" s="63" customFormat="1" ht="12" customHeight="1" x14ac:dyDescent="0.2">
      <c r="A49" s="58" t="s">
        <v>102</v>
      </c>
      <c r="B49" s="59" t="s">
        <v>40</v>
      </c>
      <c r="C49" s="60">
        <v>59309.505799999999</v>
      </c>
      <c r="D49" s="58">
        <v>1.5E-3</v>
      </c>
      <c r="E49" s="63">
        <f t="shared" si="6"/>
        <v>15046.042451534675</v>
      </c>
      <c r="F49" s="63">
        <f t="shared" si="7"/>
        <v>15046</v>
      </c>
      <c r="G49" s="63">
        <f t="shared" si="8"/>
        <v>1.6384000002290122E-2</v>
      </c>
      <c r="K49" s="63">
        <f t="shared" si="9"/>
        <v>1.6384000002290122E-2</v>
      </c>
      <c r="O49" s="63">
        <f t="shared" ca="1" si="10"/>
        <v>2.1483915414168012E-2</v>
      </c>
      <c r="Q49" s="66">
        <f t="shared" si="11"/>
        <v>44291.005799999999</v>
      </c>
    </row>
    <row r="50" spans="1:17" s="63" customFormat="1" ht="12" customHeight="1" x14ac:dyDescent="0.2">
      <c r="A50" s="61" t="s">
        <v>103</v>
      </c>
      <c r="B50" s="62" t="s">
        <v>39</v>
      </c>
      <c r="C50" s="60">
        <v>59708.775000000001</v>
      </c>
      <c r="D50" s="58">
        <v>8.0000000000000004E-4</v>
      </c>
      <c r="E50" s="63">
        <f t="shared" ref="E50" si="12">+(C50-C$7)/C$8</f>
        <v>16080.563343058366</v>
      </c>
      <c r="F50" s="63">
        <f t="shared" ref="F50" si="13">ROUND(2*E50,0)/2</f>
        <v>16080.5</v>
      </c>
      <c r="G50" s="63">
        <f t="shared" ref="G50" si="14">+C50-(C$7+F50*C$8)</f>
        <v>2.4447000003419816E-2</v>
      </c>
      <c r="K50" s="63">
        <f t="shared" ref="K50" si="15">+G50</f>
        <v>2.4447000003419816E-2</v>
      </c>
      <c r="O50" s="63">
        <f t="shared" ref="O50" ca="1" si="16">+C$11+C$12*$F50</f>
        <v>2.1001720714531064E-2</v>
      </c>
      <c r="Q50" s="66">
        <f t="shared" ref="Q50" si="17">+C50-15018.5</f>
        <v>44690.275000000001</v>
      </c>
    </row>
    <row r="51" spans="1:17" s="63" customFormat="1" ht="12" customHeight="1" x14ac:dyDescent="0.2">
      <c r="C51" s="65"/>
      <c r="D51" s="65"/>
    </row>
    <row r="52" spans="1:17" s="63" customFormat="1" ht="12" customHeight="1" x14ac:dyDescent="0.2">
      <c r="C52" s="65"/>
      <c r="D52" s="65"/>
    </row>
    <row r="53" spans="1:17" s="63" customFormat="1" ht="12" customHeight="1" x14ac:dyDescent="0.2">
      <c r="C53" s="65"/>
      <c r="D53" s="65"/>
    </row>
    <row r="54" spans="1:17" s="63" customFormat="1" ht="12" customHeight="1" x14ac:dyDescent="0.2">
      <c r="C54" s="65"/>
      <c r="D54" s="65"/>
    </row>
    <row r="55" spans="1:17" s="63" customFormat="1" ht="12" customHeight="1" x14ac:dyDescent="0.2">
      <c r="C55" s="65"/>
      <c r="D55" s="65"/>
    </row>
    <row r="56" spans="1:17" s="63" customFormat="1" ht="12" customHeight="1" x14ac:dyDescent="0.2">
      <c r="C56" s="65"/>
      <c r="D56" s="65"/>
    </row>
    <row r="57" spans="1:17" s="63" customFormat="1" ht="12" customHeight="1" x14ac:dyDescent="0.2">
      <c r="C57" s="65"/>
      <c r="D57" s="65"/>
    </row>
    <row r="58" spans="1:17" s="63" customFormat="1" ht="12" customHeight="1" x14ac:dyDescent="0.2">
      <c r="C58" s="65"/>
      <c r="D58" s="65"/>
    </row>
    <row r="59" spans="1:17" s="63" customFormat="1" ht="12" customHeight="1" x14ac:dyDescent="0.2">
      <c r="C59" s="65"/>
      <c r="D59" s="65"/>
    </row>
    <row r="60" spans="1:17" s="63" customFormat="1" ht="12" customHeight="1" x14ac:dyDescent="0.2">
      <c r="C60" s="65"/>
      <c r="D60" s="65"/>
    </row>
    <row r="61" spans="1:17" s="63" customFormat="1" ht="12" customHeight="1" x14ac:dyDescent="0.2">
      <c r="C61" s="65"/>
      <c r="D61" s="65"/>
    </row>
    <row r="62" spans="1:17" s="63" customFormat="1" ht="12" customHeight="1" x14ac:dyDescent="0.2">
      <c r="C62" s="65"/>
      <c r="D62" s="65"/>
    </row>
    <row r="63" spans="1:17" s="63" customFormat="1" ht="12" customHeight="1" x14ac:dyDescent="0.2">
      <c r="C63" s="65"/>
      <c r="D63" s="65"/>
    </row>
    <row r="64" spans="1:17" s="63" customFormat="1" ht="12" customHeight="1" x14ac:dyDescent="0.2">
      <c r="C64" s="65"/>
      <c r="D64" s="65"/>
    </row>
    <row r="65" spans="3:4" s="63" customFormat="1" ht="12" customHeight="1" x14ac:dyDescent="0.2">
      <c r="C65" s="65"/>
      <c r="D65" s="65"/>
    </row>
    <row r="66" spans="3:4" s="63" customFormat="1" ht="12" customHeight="1" x14ac:dyDescent="0.2">
      <c r="C66" s="65"/>
      <c r="D66" s="65"/>
    </row>
    <row r="67" spans="3:4" s="63" customFormat="1" ht="12" customHeight="1" x14ac:dyDescent="0.2">
      <c r="C67" s="65"/>
      <c r="D67" s="65"/>
    </row>
    <row r="68" spans="3:4" s="63" customFormat="1" ht="12" customHeight="1" x14ac:dyDescent="0.2">
      <c r="C68" s="65"/>
      <c r="D68" s="65"/>
    </row>
    <row r="69" spans="3:4" s="63" customFormat="1" ht="12" customHeight="1" x14ac:dyDescent="0.2">
      <c r="C69" s="65"/>
      <c r="D69" s="65"/>
    </row>
    <row r="70" spans="3:4" s="63" customFormat="1" ht="12" customHeight="1" x14ac:dyDescent="0.2">
      <c r="C70" s="65"/>
      <c r="D70" s="65"/>
    </row>
    <row r="71" spans="3:4" s="63" customFormat="1" ht="12" customHeight="1" x14ac:dyDescent="0.2">
      <c r="C71" s="65"/>
      <c r="D71" s="65"/>
    </row>
    <row r="72" spans="3:4" s="63" customFormat="1" ht="12" customHeight="1" x14ac:dyDescent="0.2">
      <c r="C72" s="65"/>
      <c r="D72" s="65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</sheetData>
  <phoneticPr fontId="8" type="noConversion"/>
  <hyperlinks>
    <hyperlink ref="H1134" r:id="rId1" display="http://vsolj.cetus-net.org/bulletin.html" xr:uid="{00000000-0004-0000-0000-000000000000}"/>
    <hyperlink ref="H64742" r:id="rId2" display="http://vsolj.cetus-net.org/bulletin.html" xr:uid="{00000000-0004-0000-0000-000001000000}"/>
    <hyperlink ref="H64735" r:id="rId3" display="https://www.aavso.org/ejaavso" xr:uid="{00000000-0004-0000-0000-000002000000}"/>
    <hyperlink ref="AP886" r:id="rId4" display="http://cdsbib.u-strasbg.fr/cgi-bin/cdsbib?1990RMxAA..21..381G" xr:uid="{00000000-0004-0000-0000-000003000000}"/>
    <hyperlink ref="AP890" r:id="rId5" display="http://cdsbib.u-strasbg.fr/cgi-bin/cdsbib?1990RMxAA..21..381G" xr:uid="{00000000-0004-0000-0000-000004000000}"/>
    <hyperlink ref="AP889" r:id="rId6" display="http://cdsbib.u-strasbg.fr/cgi-bin/cdsbib?1990RMxAA..21..381G" xr:uid="{00000000-0004-0000-0000-000005000000}"/>
    <hyperlink ref="AP870" r:id="rId7" display="http://cdsbib.u-strasbg.fr/cgi-bin/cdsbib?1990RMxAA..21..381G" xr:uid="{00000000-0004-0000-0000-000006000000}"/>
    <hyperlink ref="I64742" r:id="rId8" display="http://vsolj.cetus-net.org/bulletin.html" xr:uid="{00000000-0004-0000-0000-000007000000}"/>
    <hyperlink ref="AQ1026" r:id="rId9" display="http://cdsbib.u-strasbg.fr/cgi-bin/cdsbib?1990RMxAA..21..381G" xr:uid="{00000000-0004-0000-0000-000008000000}"/>
    <hyperlink ref="AQ55792" r:id="rId10" display="http://cdsbib.u-strasbg.fr/cgi-bin/cdsbib?1990RMxAA..21..381G" xr:uid="{00000000-0004-0000-0000-000009000000}"/>
    <hyperlink ref="AQ1027" r:id="rId11" display="http://cdsbib.u-strasbg.fr/cgi-bin/cdsbib?1990RMxAA..21..381G" xr:uid="{00000000-0004-0000-0000-00000A000000}"/>
    <hyperlink ref="H64739" r:id="rId12" display="https://www.aavso.org/ejaavso" xr:uid="{00000000-0004-0000-0000-00000B000000}"/>
    <hyperlink ref="H1912" r:id="rId13" display="http://vsolj.cetus-net.org/bulletin.html" xr:uid="{00000000-0004-0000-0000-00000C000000}"/>
    <hyperlink ref="AP3156" r:id="rId14" display="http://cdsbib.u-strasbg.fr/cgi-bin/cdsbib?1990RMxAA..21..381G" xr:uid="{00000000-0004-0000-0000-00000D000000}"/>
    <hyperlink ref="AP3159" r:id="rId15" display="http://cdsbib.u-strasbg.fr/cgi-bin/cdsbib?1990RMxAA..21..381G" xr:uid="{00000000-0004-0000-0000-00000E000000}"/>
    <hyperlink ref="AP3157" r:id="rId16" display="http://cdsbib.u-strasbg.fr/cgi-bin/cdsbib?1990RMxAA..21..381G" xr:uid="{00000000-0004-0000-0000-00000F000000}"/>
    <hyperlink ref="AP3141" r:id="rId17" display="http://cdsbib.u-strasbg.fr/cgi-bin/cdsbib?1990RMxAA..21..381G" xr:uid="{00000000-0004-0000-0000-000010000000}"/>
    <hyperlink ref="I1912" r:id="rId18" display="http://vsolj.cetus-net.org/bulletin.html" xr:uid="{00000000-0004-0000-0000-000011000000}"/>
    <hyperlink ref="AQ3370" r:id="rId19" display="http://cdsbib.u-strasbg.fr/cgi-bin/cdsbib?1990RMxAA..21..381G" xr:uid="{00000000-0004-0000-0000-000012000000}"/>
    <hyperlink ref="AQ71" r:id="rId20" display="http://cdsbib.u-strasbg.fr/cgi-bin/cdsbib?1990RMxAA..21..381G" xr:uid="{00000000-0004-0000-0000-000013000000}"/>
    <hyperlink ref="AQ337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1"/>
  <sheetViews>
    <sheetView workbookViewId="0">
      <selection activeCell="A11" sqref="A11:IV448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6" t="s">
        <v>52</v>
      </c>
      <c r="I1" s="37" t="s">
        <v>53</v>
      </c>
      <c r="J1" s="38" t="s">
        <v>54</v>
      </c>
    </row>
    <row r="2" spans="1:16" x14ac:dyDescent="0.2">
      <c r="I2" s="39" t="s">
        <v>55</v>
      </c>
      <c r="J2" s="40" t="s">
        <v>56</v>
      </c>
    </row>
    <row r="3" spans="1:16" x14ac:dyDescent="0.2">
      <c r="A3" s="41" t="s">
        <v>57</v>
      </c>
      <c r="I3" s="39" t="s">
        <v>58</v>
      </c>
      <c r="J3" s="40" t="s">
        <v>59</v>
      </c>
    </row>
    <row r="4" spans="1:16" x14ac:dyDescent="0.2">
      <c r="I4" s="39" t="s">
        <v>60</v>
      </c>
      <c r="J4" s="40" t="s">
        <v>59</v>
      </c>
    </row>
    <row r="5" spans="1:16" ht="13.5" thickBot="1" x14ac:dyDescent="0.25">
      <c r="I5" s="42" t="s">
        <v>61</v>
      </c>
      <c r="J5" s="43" t="s">
        <v>62</v>
      </c>
    </row>
    <row r="10" spans="1:16" ht="13.5" thickBot="1" x14ac:dyDescent="0.25"/>
    <row r="11" spans="1:16" ht="12.75" customHeight="1" thickBot="1" x14ac:dyDescent="0.25">
      <c r="A11" s="7" t="str">
        <f t="shared" ref="A11:A17" si="0">P11</f>
        <v>BAVM 241 (=IBVS 6157) </v>
      </c>
      <c r="B11" s="2" t="str">
        <f t="shared" ref="B11:B17" si="1">IF(H11=INT(H11),"I","II")</f>
        <v>I</v>
      </c>
      <c r="C11" s="7">
        <f t="shared" ref="C11:C17" si="2">1*G11</f>
        <v>57066.974999999999</v>
      </c>
      <c r="D11" s="9" t="str">
        <f t="shared" ref="D11:D17" si="3">VLOOKUP(F11,I$1:J$5,2,FALSE)</f>
        <v>vis</v>
      </c>
      <c r="E11" s="44">
        <f>VLOOKUP(C11,Active!C$21:E$973,3,FALSE)</f>
        <v>9235.5643017416969</v>
      </c>
      <c r="F11" s="2" t="s">
        <v>61</v>
      </c>
      <c r="G11" s="9" t="str">
        <f t="shared" ref="G11:G17" si="4">MID(I11,3,LEN(I11)-3)</f>
        <v>57066.975</v>
      </c>
      <c r="H11" s="7">
        <f t="shared" ref="H11:H17" si="5">1*K11</f>
        <v>2757</v>
      </c>
      <c r="I11" s="45" t="s">
        <v>84</v>
      </c>
      <c r="J11" s="46" t="s">
        <v>85</v>
      </c>
      <c r="K11" s="45" t="s">
        <v>86</v>
      </c>
      <c r="L11" s="45" t="s">
        <v>87</v>
      </c>
      <c r="M11" s="46" t="s">
        <v>66</v>
      </c>
      <c r="N11" s="46" t="s">
        <v>61</v>
      </c>
      <c r="O11" s="47" t="s">
        <v>88</v>
      </c>
      <c r="P11" s="48" t="s">
        <v>89</v>
      </c>
    </row>
    <row r="12" spans="1:16" ht="12.75" customHeight="1" thickBot="1" x14ac:dyDescent="0.25">
      <c r="A12" s="7" t="str">
        <f t="shared" si="0"/>
        <v>BAVM 241 (=IBVS 6157) </v>
      </c>
      <c r="B12" s="2" t="str">
        <f t="shared" si="1"/>
        <v>II</v>
      </c>
      <c r="C12" s="7">
        <f t="shared" si="2"/>
        <v>57122.357799999998</v>
      </c>
      <c r="D12" s="9" t="str">
        <f t="shared" si="3"/>
        <v>vis</v>
      </c>
      <c r="E12" s="44">
        <f>VLOOKUP(C12,Active!C$21:E$973,3,FALSE)</f>
        <v>9379.0631331844361</v>
      </c>
      <c r="F12" s="2" t="s">
        <v>61</v>
      </c>
      <c r="G12" s="9" t="str">
        <f t="shared" si="4"/>
        <v>57122.3578</v>
      </c>
      <c r="H12" s="7">
        <f t="shared" si="5"/>
        <v>2900.5</v>
      </c>
      <c r="I12" s="45" t="s">
        <v>96</v>
      </c>
      <c r="J12" s="46" t="s">
        <v>97</v>
      </c>
      <c r="K12" s="45" t="s">
        <v>98</v>
      </c>
      <c r="L12" s="45" t="s">
        <v>99</v>
      </c>
      <c r="M12" s="46" t="s">
        <v>66</v>
      </c>
      <c r="N12" s="46" t="s">
        <v>94</v>
      </c>
      <c r="O12" s="47" t="s">
        <v>88</v>
      </c>
      <c r="P12" s="48" t="s">
        <v>89</v>
      </c>
    </row>
    <row r="13" spans="1:16" ht="12.75" customHeight="1" thickBot="1" x14ac:dyDescent="0.25">
      <c r="A13" s="7" t="str">
        <f t="shared" si="0"/>
        <v>IBVS 6029 </v>
      </c>
      <c r="B13" s="2" t="str">
        <f t="shared" si="1"/>
        <v>I</v>
      </c>
      <c r="C13" s="7">
        <f t="shared" si="2"/>
        <v>56002.9185</v>
      </c>
      <c r="D13" s="9" t="str">
        <f t="shared" si="3"/>
        <v>vis</v>
      </c>
      <c r="E13" s="44">
        <f>VLOOKUP(C13,Active!C$21:E$973,3,FALSE)</f>
        <v>6478.5555492219182</v>
      </c>
      <c r="F13" s="2" t="s">
        <v>61</v>
      </c>
      <c r="G13" s="9" t="str">
        <f t="shared" si="4"/>
        <v>56002.9185</v>
      </c>
      <c r="H13" s="7">
        <f t="shared" si="5"/>
        <v>0</v>
      </c>
      <c r="I13" s="45" t="s">
        <v>63</v>
      </c>
      <c r="J13" s="46" t="s">
        <v>64</v>
      </c>
      <c r="K13" s="45">
        <v>0</v>
      </c>
      <c r="L13" s="45" t="s">
        <v>65</v>
      </c>
      <c r="M13" s="46" t="s">
        <v>66</v>
      </c>
      <c r="N13" s="46" t="s">
        <v>61</v>
      </c>
      <c r="O13" s="47" t="s">
        <v>67</v>
      </c>
      <c r="P13" s="48" t="s">
        <v>68</v>
      </c>
    </row>
    <row r="14" spans="1:16" ht="12.75" customHeight="1" thickBot="1" x14ac:dyDescent="0.25">
      <c r="A14" s="7" t="str">
        <f t="shared" si="0"/>
        <v>BAVM 231 </v>
      </c>
      <c r="B14" s="2" t="str">
        <f t="shared" si="1"/>
        <v>II</v>
      </c>
      <c r="C14" s="7">
        <f t="shared" si="2"/>
        <v>56069.497900000002</v>
      </c>
      <c r="D14" s="9" t="str">
        <f t="shared" si="3"/>
        <v>vis</v>
      </c>
      <c r="E14" s="44">
        <f>VLOOKUP(C14,Active!C$21:E$973,3,FALSE)</f>
        <v>6651.0651749208564</v>
      </c>
      <c r="F14" s="2" t="s">
        <v>61</v>
      </c>
      <c r="G14" s="9" t="str">
        <f t="shared" si="4"/>
        <v>56069.4979</v>
      </c>
      <c r="H14" s="7">
        <f t="shared" si="5"/>
        <v>172.5</v>
      </c>
      <c r="I14" s="45" t="s">
        <v>69</v>
      </c>
      <c r="J14" s="46" t="s">
        <v>70</v>
      </c>
      <c r="K14" s="45">
        <v>172.5</v>
      </c>
      <c r="L14" s="45" t="s">
        <v>71</v>
      </c>
      <c r="M14" s="46" t="s">
        <v>66</v>
      </c>
      <c r="N14" s="46" t="s">
        <v>72</v>
      </c>
      <c r="O14" s="47" t="s">
        <v>73</v>
      </c>
      <c r="P14" s="48" t="s">
        <v>74</v>
      </c>
    </row>
    <row r="15" spans="1:16" ht="12.75" customHeight="1" thickBot="1" x14ac:dyDescent="0.25">
      <c r="A15" s="7" t="str">
        <f t="shared" si="0"/>
        <v>IBVS 6029 </v>
      </c>
      <c r="B15" s="2" t="str">
        <f t="shared" si="1"/>
        <v>II</v>
      </c>
      <c r="C15" s="7">
        <f t="shared" si="2"/>
        <v>56085.706100000003</v>
      </c>
      <c r="D15" s="9" t="str">
        <f t="shared" si="3"/>
        <v>vis</v>
      </c>
      <c r="E15" s="44">
        <f>VLOOKUP(C15,Active!C$21:E$973,3,FALSE)</f>
        <v>6693.0612054536277</v>
      </c>
      <c r="F15" s="2" t="s">
        <v>61</v>
      </c>
      <c r="G15" s="9" t="str">
        <f t="shared" si="4"/>
        <v>56085.7061</v>
      </c>
      <c r="H15" s="7">
        <f t="shared" si="5"/>
        <v>214.5</v>
      </c>
      <c r="I15" s="45" t="s">
        <v>75</v>
      </c>
      <c r="J15" s="46" t="s">
        <v>76</v>
      </c>
      <c r="K15" s="45" t="s">
        <v>77</v>
      </c>
      <c r="L15" s="45" t="s">
        <v>78</v>
      </c>
      <c r="M15" s="46" t="s">
        <v>66</v>
      </c>
      <c r="N15" s="46" t="s">
        <v>61</v>
      </c>
      <c r="O15" s="47" t="s">
        <v>67</v>
      </c>
      <c r="P15" s="48" t="s">
        <v>68</v>
      </c>
    </row>
    <row r="16" spans="1:16" ht="12.75" customHeight="1" thickBot="1" x14ac:dyDescent="0.25">
      <c r="A16" s="7" t="str">
        <f t="shared" si="0"/>
        <v>BAVM 232 </v>
      </c>
      <c r="B16" s="2" t="str">
        <f t="shared" si="1"/>
        <v>II</v>
      </c>
      <c r="C16" s="7">
        <f t="shared" si="2"/>
        <v>56418.390299999999</v>
      </c>
      <c r="D16" s="9" t="str">
        <f t="shared" si="3"/>
        <v>vis</v>
      </c>
      <c r="E16" s="44">
        <f>VLOOKUP(C16,Active!C$21:E$973,3,FALSE)</f>
        <v>7555.0579614764802</v>
      </c>
      <c r="F16" s="2" t="s">
        <v>61</v>
      </c>
      <c r="G16" s="9" t="str">
        <f t="shared" si="4"/>
        <v>56418.3903</v>
      </c>
      <c r="H16" s="7">
        <f t="shared" si="5"/>
        <v>1076.5</v>
      </c>
      <c r="I16" s="45" t="s">
        <v>79</v>
      </c>
      <c r="J16" s="46" t="s">
        <v>80</v>
      </c>
      <c r="K16" s="45" t="s">
        <v>81</v>
      </c>
      <c r="L16" s="45" t="s">
        <v>82</v>
      </c>
      <c r="M16" s="46" t="s">
        <v>66</v>
      </c>
      <c r="N16" s="46" t="s">
        <v>72</v>
      </c>
      <c r="O16" s="47" t="s">
        <v>73</v>
      </c>
      <c r="P16" s="48" t="s">
        <v>83</v>
      </c>
    </row>
    <row r="17" spans="1:16" ht="12.75" customHeight="1" thickBot="1" x14ac:dyDescent="0.25">
      <c r="A17" s="7" t="str">
        <f t="shared" si="0"/>
        <v>BAVM 239 </v>
      </c>
      <c r="B17" s="2" t="str">
        <f t="shared" si="1"/>
        <v>II</v>
      </c>
      <c r="C17" s="7">
        <f t="shared" si="2"/>
        <v>57069.482000000004</v>
      </c>
      <c r="D17" s="9" t="str">
        <f t="shared" si="3"/>
        <v>vis</v>
      </c>
      <c r="E17" s="44">
        <f>VLOOKUP(C17,Active!C$21:E$973,3,FALSE)</f>
        <v>9242.0600291232604</v>
      </c>
      <c r="F17" s="2" t="s">
        <v>61</v>
      </c>
      <c r="G17" s="9" t="str">
        <f t="shared" si="4"/>
        <v>57069.4820</v>
      </c>
      <c r="H17" s="7">
        <f t="shared" si="5"/>
        <v>2763.5</v>
      </c>
      <c r="I17" s="45" t="s">
        <v>90</v>
      </c>
      <c r="J17" s="46" t="s">
        <v>91</v>
      </c>
      <c r="K17" s="45" t="s">
        <v>92</v>
      </c>
      <c r="L17" s="45" t="s">
        <v>93</v>
      </c>
      <c r="M17" s="46" t="s">
        <v>66</v>
      </c>
      <c r="N17" s="46" t="s">
        <v>94</v>
      </c>
      <c r="O17" s="47" t="s">
        <v>88</v>
      </c>
      <c r="P17" s="48" t="s">
        <v>95</v>
      </c>
    </row>
    <row r="18" spans="1:16" x14ac:dyDescent="0.2">
      <c r="B18" s="2"/>
      <c r="F18" s="2"/>
    </row>
    <row r="19" spans="1:16" x14ac:dyDescent="0.2">
      <c r="B19" s="2"/>
      <c r="F19" s="2"/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</sheetData>
  <phoneticPr fontId="8" type="noConversion"/>
  <hyperlinks>
    <hyperlink ref="P13" r:id="rId1" display="http://www.konkoly.hu/cgi-bin/IBVS?6029" xr:uid="{00000000-0004-0000-0100-000000000000}"/>
    <hyperlink ref="P14" r:id="rId2" display="http://www.bav-astro.de/sfs/BAVM_link.php?BAVMnr=231" xr:uid="{00000000-0004-0000-0100-000001000000}"/>
    <hyperlink ref="P15" r:id="rId3" display="http://www.konkoly.hu/cgi-bin/IBVS?6029" xr:uid="{00000000-0004-0000-0100-000002000000}"/>
    <hyperlink ref="P16" r:id="rId4" display="http://www.bav-astro.de/sfs/BAVM_link.php?BAVMnr=232" xr:uid="{00000000-0004-0000-0100-000003000000}"/>
    <hyperlink ref="P11" r:id="rId5" display="http://www.bav-astro.de/sfs/BAVM_link.php?BAVMnr=241" xr:uid="{00000000-0004-0000-0100-000004000000}"/>
    <hyperlink ref="P17" r:id="rId6" display="http://www.bav-astro.de/sfs/BAVM_link.php?BAVMnr=239" xr:uid="{00000000-0004-0000-0100-000005000000}"/>
    <hyperlink ref="P12" r:id="rId7" display="http://www.bav-astro.de/sfs/BAVM_link.php?BAVMnr=241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2023-08-06T08:56:51Z</dcterms:modified>
</cp:coreProperties>
</file>