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7926079-0E2E-4C54-ADB4-8F88FA10131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8" i="1" l="1"/>
  <c r="F28" i="1"/>
  <c r="E40" i="1"/>
  <c r="F40" i="1"/>
  <c r="E50" i="1"/>
  <c r="F50" i="1"/>
  <c r="D9" i="1"/>
  <c r="C9" i="1"/>
  <c r="Q22" i="1"/>
  <c r="Q23" i="1"/>
  <c r="Q24" i="1"/>
  <c r="Q25" i="1"/>
  <c r="Q26" i="1"/>
  <c r="Q27" i="1"/>
  <c r="Q28" i="1"/>
  <c r="Q29" i="1"/>
  <c r="Q30" i="1"/>
  <c r="Q31" i="1"/>
  <c r="Q37" i="1"/>
  <c r="Q43" i="1"/>
  <c r="G28" i="2"/>
  <c r="C28" i="2"/>
  <c r="C7" i="1"/>
  <c r="E51" i="1"/>
  <c r="F51" i="1"/>
  <c r="C8" i="1"/>
  <c r="G27" i="2"/>
  <c r="C27" i="2"/>
  <c r="E27" i="2"/>
  <c r="G26" i="2"/>
  <c r="C26" i="2"/>
  <c r="E26" i="2"/>
  <c r="G25" i="2"/>
  <c r="C25" i="2"/>
  <c r="G24" i="2"/>
  <c r="C24" i="2"/>
  <c r="G23" i="2"/>
  <c r="C23" i="2"/>
  <c r="G22" i="2"/>
  <c r="C22" i="2"/>
  <c r="G21" i="2"/>
  <c r="C21" i="2"/>
  <c r="G20" i="2"/>
  <c r="C20" i="2"/>
  <c r="G40" i="2"/>
  <c r="C40" i="2"/>
  <c r="G19" i="2"/>
  <c r="C19" i="2"/>
  <c r="G18" i="2"/>
  <c r="C18" i="2"/>
  <c r="G17" i="2"/>
  <c r="C17" i="2"/>
  <c r="G39" i="2"/>
  <c r="C39" i="2"/>
  <c r="G16" i="2"/>
  <c r="C16" i="2"/>
  <c r="E16" i="2"/>
  <c r="E36" i="1"/>
  <c r="G15" i="2"/>
  <c r="C15" i="2"/>
  <c r="E15" i="2"/>
  <c r="E35" i="1"/>
  <c r="G14" i="2"/>
  <c r="C14" i="2"/>
  <c r="E14" i="2"/>
  <c r="E34" i="1"/>
  <c r="G13" i="2"/>
  <c r="C13" i="2"/>
  <c r="E13" i="2"/>
  <c r="E33" i="1"/>
  <c r="G12" i="2"/>
  <c r="C12" i="2"/>
  <c r="E12" i="2"/>
  <c r="E32" i="1"/>
  <c r="G38" i="2"/>
  <c r="C38" i="2"/>
  <c r="G37" i="2"/>
  <c r="C37" i="2"/>
  <c r="G36" i="2"/>
  <c r="C36" i="2"/>
  <c r="G35" i="2"/>
  <c r="C35" i="2"/>
  <c r="E35" i="2"/>
  <c r="G34" i="2"/>
  <c r="C34" i="2"/>
  <c r="G33" i="2"/>
  <c r="C33" i="2"/>
  <c r="G32" i="2"/>
  <c r="C32" i="2"/>
  <c r="G31" i="2"/>
  <c r="C31" i="2"/>
  <c r="G30" i="2"/>
  <c r="C30" i="2"/>
  <c r="G29" i="2"/>
  <c r="C29" i="2"/>
  <c r="G11" i="2"/>
  <c r="C11" i="2"/>
  <c r="E11" i="2"/>
  <c r="E21" i="1"/>
  <c r="F21" i="1"/>
  <c r="G21" i="1"/>
  <c r="H21" i="1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40" i="2"/>
  <c r="D40" i="2"/>
  <c r="B40" i="2"/>
  <c r="A40" i="2"/>
  <c r="H19" i="2"/>
  <c r="B19" i="2"/>
  <c r="D19" i="2"/>
  <c r="A19" i="2"/>
  <c r="H18" i="2"/>
  <c r="D18" i="2"/>
  <c r="B18" i="2"/>
  <c r="A18" i="2"/>
  <c r="H17" i="2"/>
  <c r="B17" i="2"/>
  <c r="D17" i="2"/>
  <c r="A17" i="2"/>
  <c r="H39" i="2"/>
  <c r="D39" i="2"/>
  <c r="B39" i="2"/>
  <c r="A39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11" i="2"/>
  <c r="D11" i="2"/>
  <c r="B11" i="2"/>
  <c r="A11" i="2"/>
  <c r="Q49" i="1"/>
  <c r="Q52" i="1"/>
  <c r="Q51" i="1"/>
  <c r="F32" i="1"/>
  <c r="G32" i="1"/>
  <c r="I32" i="1"/>
  <c r="F33" i="1"/>
  <c r="G33" i="1"/>
  <c r="I33" i="1"/>
  <c r="F34" i="1"/>
  <c r="G34" i="1"/>
  <c r="I34" i="1"/>
  <c r="F35" i="1"/>
  <c r="F36" i="1"/>
  <c r="G36" i="1"/>
  <c r="I36" i="1"/>
  <c r="F16" i="1"/>
  <c r="F17" i="1" s="1"/>
  <c r="C17" i="1"/>
  <c r="Q50" i="1"/>
  <c r="Q48" i="1"/>
  <c r="Q32" i="1"/>
  <c r="Q33" i="1"/>
  <c r="Q34" i="1"/>
  <c r="Q35" i="1"/>
  <c r="Q36" i="1"/>
  <c r="Q38" i="1"/>
  <c r="Q39" i="1"/>
  <c r="Q40" i="1"/>
  <c r="Q41" i="1"/>
  <c r="Q42" i="1"/>
  <c r="Q44" i="1"/>
  <c r="Q45" i="1"/>
  <c r="Q46" i="1"/>
  <c r="Q47" i="1"/>
  <c r="G35" i="1"/>
  <c r="I35" i="1"/>
  <c r="Q21" i="1"/>
  <c r="E32" i="2"/>
  <c r="E17" i="2"/>
  <c r="E19" i="2"/>
  <c r="E40" i="2"/>
  <c r="E46" i="1"/>
  <c r="F46" i="1"/>
  <c r="G46" i="1"/>
  <c r="I46" i="1"/>
  <c r="E43" i="1"/>
  <c r="F43" i="1"/>
  <c r="G43" i="1"/>
  <c r="I43" i="1"/>
  <c r="E25" i="1"/>
  <c r="F25" i="1"/>
  <c r="E42" i="1"/>
  <c r="F42" i="1"/>
  <c r="G42" i="1"/>
  <c r="I42" i="1"/>
  <c r="E30" i="1"/>
  <c r="F30" i="1"/>
  <c r="G30" i="1"/>
  <c r="I30" i="1"/>
  <c r="G24" i="1"/>
  <c r="I24" i="1"/>
  <c r="E48" i="1"/>
  <c r="F48" i="1"/>
  <c r="G48" i="1"/>
  <c r="K48" i="1"/>
  <c r="E39" i="1"/>
  <c r="F39" i="1"/>
  <c r="G39" i="1"/>
  <c r="I39" i="1"/>
  <c r="E27" i="1"/>
  <c r="E22" i="1"/>
  <c r="F22" i="1"/>
  <c r="G22" i="1"/>
  <c r="I22" i="1"/>
  <c r="E49" i="1"/>
  <c r="F49" i="1"/>
  <c r="G49" i="1"/>
  <c r="E45" i="1"/>
  <c r="F45" i="1"/>
  <c r="G45" i="1"/>
  <c r="I45" i="1"/>
  <c r="E37" i="1"/>
  <c r="E24" i="1"/>
  <c r="F24" i="1"/>
  <c r="G44" i="1"/>
  <c r="I44" i="1"/>
  <c r="E41" i="1"/>
  <c r="F41" i="1"/>
  <c r="G41" i="1"/>
  <c r="I41" i="1"/>
  <c r="E29" i="1"/>
  <c r="F29" i="1"/>
  <c r="G29" i="1"/>
  <c r="I29" i="1"/>
  <c r="G51" i="1"/>
  <c r="G50" i="1"/>
  <c r="K50" i="1"/>
  <c r="E47" i="1"/>
  <c r="G40" i="1"/>
  <c r="I40" i="1"/>
  <c r="E38" i="1"/>
  <c r="F38" i="1"/>
  <c r="G38" i="1"/>
  <c r="I38" i="1"/>
  <c r="G28" i="1"/>
  <c r="I28" i="1"/>
  <c r="E26" i="1"/>
  <c r="F26" i="1"/>
  <c r="G26" i="1"/>
  <c r="I26" i="1"/>
  <c r="E44" i="1"/>
  <c r="F44" i="1"/>
  <c r="E31" i="1"/>
  <c r="F31" i="1"/>
  <c r="G31" i="1"/>
  <c r="I31" i="1"/>
  <c r="G25" i="1"/>
  <c r="I25" i="1"/>
  <c r="E23" i="1"/>
  <c r="F23" i="1"/>
  <c r="G23" i="1"/>
  <c r="I23" i="1"/>
  <c r="E52" i="1"/>
  <c r="F52" i="1"/>
  <c r="G52" i="1"/>
  <c r="N49" i="1"/>
  <c r="J49" i="1"/>
  <c r="K52" i="1"/>
  <c r="N52" i="1"/>
  <c r="E28" i="2"/>
  <c r="E21" i="2"/>
  <c r="E37" i="2"/>
  <c r="E33" i="2"/>
  <c r="F27" i="1"/>
  <c r="G27" i="1"/>
  <c r="I27" i="1"/>
  <c r="E34" i="2"/>
  <c r="E22" i="2"/>
  <c r="E36" i="2"/>
  <c r="E18" i="2"/>
  <c r="E25" i="2"/>
  <c r="F47" i="1"/>
  <c r="G47" i="1"/>
  <c r="I47" i="1"/>
  <c r="E23" i="2"/>
  <c r="E30" i="2"/>
  <c r="K51" i="1"/>
  <c r="N51" i="1"/>
  <c r="E39" i="2"/>
  <c r="F37" i="1"/>
  <c r="G37" i="1"/>
  <c r="E29" i="2"/>
  <c r="E20" i="2"/>
  <c r="E31" i="2"/>
  <c r="E38" i="2"/>
  <c r="E24" i="2"/>
  <c r="I37" i="1"/>
  <c r="C12" i="1"/>
  <c r="C11" i="1"/>
  <c r="O47" i="1" l="1"/>
  <c r="O44" i="1"/>
  <c r="O32" i="1"/>
  <c r="O35" i="1"/>
  <c r="O50" i="1"/>
  <c r="O37" i="1"/>
  <c r="O52" i="1"/>
  <c r="O34" i="1"/>
  <c r="O49" i="1"/>
  <c r="O48" i="1"/>
  <c r="O46" i="1"/>
  <c r="C15" i="1"/>
  <c r="O45" i="1"/>
  <c r="O51" i="1"/>
  <c r="O38" i="1"/>
  <c r="O39" i="1"/>
  <c r="O41" i="1"/>
  <c r="O36" i="1"/>
  <c r="O40" i="1"/>
  <c r="O33" i="1"/>
  <c r="O43" i="1"/>
  <c r="O4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<sst xmlns="http://schemas.openxmlformats.org/spreadsheetml/2006/main" count="340" uniqueCount="191">
  <si>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</si>
  <si>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</si>
  <si>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</si>
  <si>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</si>
  <si>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</si>
  <si>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</si>
  <si>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</si>
  <si>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</si>
  <si>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</si>
  <si>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</si>
  <si>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</si>
  <si>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</si>
  <si>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</si>
  <si>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</si>
  <si>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</si>
  <si>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</si>
  <si>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</si>
  <si>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</si>
  <si>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</si>
  <si>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</si>
  <si>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</si>
  <si>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</si>
  <si>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</si>
  <si>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</si>
  <si>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</si>
  <si>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</si>
  <si>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BBSAG Bull.39</t>
  </si>
  <si>
    <t>BBSAG Bull.52</t>
  </si>
  <si>
    <t>BBSAG Bull.56</t>
  </si>
  <si>
    <t>BBSAG Bull.59</t>
  </si>
  <si>
    <t>BBSAG Bull.74</t>
  </si>
  <si>
    <t>BBSAG Bull.78</t>
  </si>
  <si>
    <t>BBSAG Bull.79</t>
  </si>
  <si>
    <t>BBSAG Bull.83</t>
  </si>
  <si>
    <t>BBSAG Bull.92</t>
  </si>
  <si>
    <t>BBSAG Bull.94</t>
  </si>
  <si>
    <t>BBSAG Bull.105</t>
  </si>
  <si>
    <t>BBSAG Bull.114</t>
  </si>
  <si>
    <t>BBSAG Bull.117</t>
  </si>
  <si>
    <t>BBSAG Bull.118</t>
  </si>
  <si>
    <t>IBVS 5263</t>
  </si>
  <si>
    <t>I</t>
  </si>
  <si>
    <t># of data points:</t>
  </si>
  <si>
    <t>EA/SD</t>
  </si>
  <si>
    <t>AQ Cam / gsc 3737-1269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</si>
  <si>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</si>
  <si>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</si>
  <si>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</si>
  <si>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</si>
  <si>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</si>
  <si>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</si>
  <si>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5894</t>
  </si>
  <si>
    <t>Add cycle</t>
  </si>
  <si>
    <t>Old Cycle</t>
  </si>
  <si>
    <t>IBVS 5960</t>
  </si>
  <si>
    <t>IBVS 5918</t>
  </si>
  <si>
    <t>IBVS 6011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</si>
  <si>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</si>
  <si>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</si>
  <si>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</si>
  <si>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</si>
  <si>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</si>
  <si>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</si>
  <si>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</si>
  <si>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</si>
  <si>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</si>
  <si>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</si>
  <si>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</si>
  <si>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</si>
  <si>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2430735.398 </t>
  </si>
  <si>
    <t> 10.01.1943 21:33 </t>
  </si>
  <si>
    <t> 0.014 </t>
  </si>
  <si>
    <t>P </t>
  </si>
  <si>
    <t> L.Meinunger </t>
  </si>
  <si>
    <t> MVS 3.197 </t>
  </si>
  <si>
    <t>2430791.407 </t>
  </si>
  <si>
    <t> 07.03.1943 21:46 </t>
  </si>
  <si>
    <t> 0.059 </t>
  </si>
  <si>
    <t>2430819.354 </t>
  </si>
  <si>
    <t> 04.04.1943 20:29 </t>
  </si>
  <si>
    <t> 0.024 </t>
  </si>
  <si>
    <t>2431021.438 </t>
  </si>
  <si>
    <t> 23.10.1943 22:30 </t>
  </si>
  <si>
    <t> 0.015 </t>
  </si>
  <si>
    <t>2436440.615 </t>
  </si>
  <si>
    <t> 25.08.1958 02:45 </t>
  </si>
  <si>
    <t> 0.003 </t>
  </si>
  <si>
    <t>2436605.373 </t>
  </si>
  <si>
    <t> 05.02.1959 20:57 </t>
  </si>
  <si>
    <t> -0.022 </t>
  </si>
  <si>
    <t>2436608.463 </t>
  </si>
  <si>
    <t> 08.02.1959 23:06 </t>
  </si>
  <si>
    <t> -0.041 </t>
  </si>
  <si>
    <t>2438290.576 </t>
  </si>
  <si>
    <t> 18.09.1963 01:49 </t>
  </si>
  <si>
    <t> 0.040 </t>
  </si>
  <si>
    <t>2438318.583 </t>
  </si>
  <si>
    <t> 16.10.1963 01:59 </t>
  </si>
  <si>
    <t> 0.065 </t>
  </si>
  <si>
    <t>2438399.345 </t>
  </si>
  <si>
    <t> 04.01.1964 20:16 </t>
  </si>
  <si>
    <t> -0.010 </t>
  </si>
  <si>
    <t>2438853.318 </t>
  </si>
  <si>
    <t> 02.04.1965 19:37 </t>
  </si>
  <si>
    <t> 0.032 </t>
  </si>
  <si>
    <t>2443762.576 </t>
  </si>
  <si>
    <t> 11.09.1978 01:49 </t>
  </si>
  <si>
    <t> -0.004 </t>
  </si>
  <si>
    <t>V </t>
  </si>
  <si>
    <t> K.Locher </t>
  </si>
  <si>
    <t> BBS 39 </t>
  </si>
  <si>
    <t>2444583.395 </t>
  </si>
  <si>
    <t> 09.12.1980 21:28 </t>
  </si>
  <si>
    <t> 0.008 </t>
  </si>
  <si>
    <t> BBS 52 </t>
  </si>
  <si>
    <t>2444844.556 </t>
  </si>
  <si>
    <t> 28.08.1981 01:20 </t>
  </si>
  <si>
    <t> 0.004 </t>
  </si>
  <si>
    <t> BBS 56 </t>
  </si>
  <si>
    <t>2445043.540 </t>
  </si>
  <si>
    <t> 15.03.1982 00:57 </t>
  </si>
  <si>
    <t> BBS 59 </t>
  </si>
  <si>
    <t>2446007.364 </t>
  </si>
  <si>
    <t> 02.11.1984 20:44 </t>
  </si>
  <si>
    <t> 0.002 </t>
  </si>
  <si>
    <t> BBS 74 </t>
  </si>
  <si>
    <t>2446327.586 </t>
  </si>
  <si>
    <t> 19.09.1985 02:03 </t>
  </si>
  <si>
    <t> -0.015 </t>
  </si>
  <si>
    <t> BBS 78 </t>
  </si>
  <si>
    <t>2446405.326 </t>
  </si>
  <si>
    <t> 05.12.1985 19:49 </t>
  </si>
  <si>
    <t> BBS 79 </t>
  </si>
  <si>
    <t>2447804.424 </t>
  </si>
  <si>
    <t> 04.10.1989 22:10 </t>
  </si>
  <si>
    <t> -0.007 </t>
  </si>
  <si>
    <t> BBS 92 </t>
  </si>
  <si>
    <t>2447894.589 </t>
  </si>
  <si>
    <t> 03.01.1990 02:08 </t>
  </si>
  <si>
    <t> -0.006 </t>
  </si>
  <si>
    <t> BBS 94 </t>
  </si>
  <si>
    <t>2448177.522 </t>
  </si>
  <si>
    <t> 13.10.1990 00:31 </t>
  </si>
  <si>
    <t> J.Borovicka </t>
  </si>
  <si>
    <t> BRNO 31 </t>
  </si>
  <si>
    <t>2449340.337 </t>
  </si>
  <si>
    <t> 18.12.1993 20:05 </t>
  </si>
  <si>
    <t> BBS 105 </t>
  </si>
  <si>
    <t>2450425.412 </t>
  </si>
  <si>
    <t> 07.12.1996 21:53 </t>
  </si>
  <si>
    <t> BBS 114 </t>
  </si>
  <si>
    <t>2450823.3867 </t>
  </si>
  <si>
    <t> 09.01.1998 21:16 </t>
  </si>
  <si>
    <t> 0.0043 </t>
  </si>
  <si>
    <t>E </t>
  </si>
  <si>
    <t>?</t>
  </si>
  <si>
    <t> R.Diethelm </t>
  </si>
  <si>
    <t> BBS 117 </t>
  </si>
  <si>
    <t>2451056.58 </t>
  </si>
  <si>
    <t> 31.08.1998 01:55 </t>
  </si>
  <si>
    <t> 0.01 </t>
  </si>
  <si>
    <t> BBS 118 </t>
  </si>
  <si>
    <t>2451535.3736 </t>
  </si>
  <si>
    <t> 22.12.1999 20:57 </t>
  </si>
  <si>
    <t> 0.0037 </t>
  </si>
  <si>
    <t> M.Zejda </t>
  </si>
  <si>
    <t>IBVS 5263 </t>
  </si>
  <si>
    <t>2454843.4644 </t>
  </si>
  <si>
    <t> 11.01.2009 23:08 </t>
  </si>
  <si>
    <t> -0.0049 </t>
  </si>
  <si>
    <t>C </t>
  </si>
  <si>
    <t>-I</t>
  </si>
  <si>
    <t> F.Agerer </t>
  </si>
  <si>
    <t>BAVM 209 </t>
  </si>
  <si>
    <t>2454849.6809 </t>
  </si>
  <si>
    <t> 18.01.2009 04:20 </t>
  </si>
  <si>
    <t>755</t>
  </si>
  <si>
    <t> -0.0067 </t>
  </si>
  <si>
    <t>IBVS 5894 </t>
  </si>
  <si>
    <t>2455511.9223 </t>
  </si>
  <si>
    <t> 11.11.2010 10:08 </t>
  </si>
  <si>
    <t>968</t>
  </si>
  <si>
    <t> -0.0070 </t>
  </si>
  <si>
    <t>IBVS 5960 </t>
  </si>
  <si>
    <t>2455931.6529 </t>
  </si>
  <si>
    <t> 05.01.2012 03:40 </t>
  </si>
  <si>
    <t>1103</t>
  </si>
  <si>
    <t>IBVS 6011 </t>
  </si>
  <si>
    <t>s5</t>
  </si>
  <si>
    <t>s6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</si>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</sst>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14" fontId="15" fillId="0" borderId="0" xfId="0" applyNumberFormat="1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6" fillId="0" borderId="0" xfId="0" applyFont="1">
      <alignment vertical="top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18" fillId="0" borderId="0" xfId="0" applyNumberFormat="1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Cam - O-C Diagr.</a:t>
            </a:r>
          </a:p>
        </c:rich>
      </c:tx>
      <c:layout>
        <c:manualLayout>
          <c:xMode val="edge"/>
          <c:yMode val="edge"/>
          <c:x val="0.3367772933342009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62397463356170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</c:v>
                </c:pt>
                <c:pt idx="2">
                  <c:v>27</c:v>
                </c:pt>
                <c:pt idx="3">
                  <c:v>92</c:v>
                </c:pt>
                <c:pt idx="4">
                  <c:v>1835</c:v>
                </c:pt>
                <c:pt idx="5">
                  <c:v>1888</c:v>
                </c:pt>
                <c:pt idx="6">
                  <c:v>1889</c:v>
                </c:pt>
                <c:pt idx="7">
                  <c:v>2430</c:v>
                </c:pt>
                <c:pt idx="8">
                  <c:v>2439</c:v>
                </c:pt>
                <c:pt idx="9">
                  <c:v>2465</c:v>
                </c:pt>
                <c:pt idx="10">
                  <c:v>2611</c:v>
                </c:pt>
                <c:pt idx="11">
                  <c:v>4190</c:v>
                </c:pt>
                <c:pt idx="12">
                  <c:v>4454</c:v>
                </c:pt>
                <c:pt idx="13">
                  <c:v>4538</c:v>
                </c:pt>
                <c:pt idx="14">
                  <c:v>4602</c:v>
                </c:pt>
                <c:pt idx="15">
                  <c:v>4912</c:v>
                </c:pt>
                <c:pt idx="16">
                  <c:v>5015</c:v>
                </c:pt>
                <c:pt idx="17">
                  <c:v>5015</c:v>
                </c:pt>
                <c:pt idx="18">
                  <c:v>5040</c:v>
                </c:pt>
                <c:pt idx="19">
                  <c:v>5177</c:v>
                </c:pt>
                <c:pt idx="20">
                  <c:v>5490</c:v>
                </c:pt>
                <c:pt idx="21">
                  <c:v>5519</c:v>
                </c:pt>
                <c:pt idx="22">
                  <c:v>5610</c:v>
                </c:pt>
                <c:pt idx="23">
                  <c:v>5984</c:v>
                </c:pt>
                <c:pt idx="24">
                  <c:v>6333</c:v>
                </c:pt>
                <c:pt idx="25">
                  <c:v>6461</c:v>
                </c:pt>
                <c:pt idx="26">
                  <c:v>6536</c:v>
                </c:pt>
                <c:pt idx="27">
                  <c:v>6690</c:v>
                </c:pt>
                <c:pt idx="28">
                  <c:v>7754</c:v>
                </c:pt>
                <c:pt idx="29">
                  <c:v>7756</c:v>
                </c:pt>
                <c:pt idx="30">
                  <c:v>7969</c:v>
                </c:pt>
                <c:pt idx="31">
                  <c:v>8104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EC-4B78-8734-5471D1A7734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6">
                    <c:v>0</c:v>
                  </c:pt>
                  <c:pt idx="22">
                    <c:v>0</c:v>
                  </c:pt>
                  <c:pt idx="23">
                    <c:v>8.9999999999999993E-3</c:v>
                  </c:pt>
                  <c:pt idx="24">
                    <c:v>8.9999999999999993E-3</c:v>
                  </c:pt>
                  <c:pt idx="25">
                    <c:v>5.0000000000000001E-4</c:v>
                  </c:pt>
                  <c:pt idx="26">
                    <c:v>0.02</c:v>
                  </c:pt>
                  <c:pt idx="27">
                    <c:v>6.0000000000000001E-3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4.0000000000000002E-4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6">
                    <c:v>0</c:v>
                  </c:pt>
                  <c:pt idx="22">
                    <c:v>0</c:v>
                  </c:pt>
                  <c:pt idx="23">
                    <c:v>8.9999999999999993E-3</c:v>
                  </c:pt>
                  <c:pt idx="24">
                    <c:v>8.9999999999999993E-3</c:v>
                  </c:pt>
                  <c:pt idx="25">
                    <c:v>5.0000000000000001E-4</c:v>
                  </c:pt>
                  <c:pt idx="26">
                    <c:v>0.02</c:v>
                  </c:pt>
                  <c:pt idx="27">
                    <c:v>6.0000000000000001E-3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</c:v>
                </c:pt>
                <c:pt idx="2">
                  <c:v>27</c:v>
                </c:pt>
                <c:pt idx="3">
                  <c:v>92</c:v>
                </c:pt>
                <c:pt idx="4">
                  <c:v>1835</c:v>
                </c:pt>
                <c:pt idx="5">
                  <c:v>1888</c:v>
                </c:pt>
                <c:pt idx="6">
                  <c:v>1889</c:v>
                </c:pt>
                <c:pt idx="7">
                  <c:v>2430</c:v>
                </c:pt>
                <c:pt idx="8">
                  <c:v>2439</c:v>
                </c:pt>
                <c:pt idx="9">
                  <c:v>2465</c:v>
                </c:pt>
                <c:pt idx="10">
                  <c:v>2611</c:v>
                </c:pt>
                <c:pt idx="11">
                  <c:v>4190</c:v>
                </c:pt>
                <c:pt idx="12">
                  <c:v>4454</c:v>
                </c:pt>
                <c:pt idx="13">
                  <c:v>4538</c:v>
                </c:pt>
                <c:pt idx="14">
                  <c:v>4602</c:v>
                </c:pt>
                <c:pt idx="15">
                  <c:v>4912</c:v>
                </c:pt>
                <c:pt idx="16">
                  <c:v>5015</c:v>
                </c:pt>
                <c:pt idx="17">
                  <c:v>5015</c:v>
                </c:pt>
                <c:pt idx="18">
                  <c:v>5040</c:v>
                </c:pt>
                <c:pt idx="19">
                  <c:v>5177</c:v>
                </c:pt>
                <c:pt idx="20">
                  <c:v>5490</c:v>
                </c:pt>
                <c:pt idx="21">
                  <c:v>5519</c:v>
                </c:pt>
                <c:pt idx="22">
                  <c:v>5610</c:v>
                </c:pt>
                <c:pt idx="23">
                  <c:v>5984</c:v>
                </c:pt>
                <c:pt idx="24">
                  <c:v>6333</c:v>
                </c:pt>
                <c:pt idx="25">
                  <c:v>6461</c:v>
                </c:pt>
                <c:pt idx="26">
                  <c:v>6536</c:v>
                </c:pt>
                <c:pt idx="27">
                  <c:v>6690</c:v>
                </c:pt>
                <c:pt idx="28">
                  <c:v>7754</c:v>
                </c:pt>
                <c:pt idx="29">
                  <c:v>7756</c:v>
                </c:pt>
                <c:pt idx="30">
                  <c:v>7969</c:v>
                </c:pt>
                <c:pt idx="31">
                  <c:v>8104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4.5019999997748528E-2</c:v>
                </c:pt>
                <c:pt idx="2">
                  <c:v>1.0029999997641426E-2</c:v>
                </c:pt>
                <c:pt idx="3">
                  <c:v>1.879999996162951E-3</c:v>
                </c:pt>
                <c:pt idx="4">
                  <c:v>1.4999999984866008E-4</c:v>
                </c:pt>
                <c:pt idx="5">
                  <c:v>-2.4680000002263114E-2</c:v>
                </c:pt>
                <c:pt idx="6">
                  <c:v>-4.3789999996079132E-2</c:v>
                </c:pt>
                <c:pt idx="7">
                  <c:v>4.0699999997741543E-2</c:v>
                </c:pt>
                <c:pt idx="8">
                  <c:v>6.5709999995306134E-2</c:v>
                </c:pt>
                <c:pt idx="9">
                  <c:v>-9.1499999980442226E-3</c:v>
                </c:pt>
                <c:pt idx="10">
                  <c:v>3.3790000001317821E-2</c:v>
                </c:pt>
                <c:pt idx="11">
                  <c:v>7.100000002537854E-3</c:v>
                </c:pt>
                <c:pt idx="12">
                  <c:v>2.1059999999124557E-2</c:v>
                </c:pt>
                <c:pt idx="13">
                  <c:v>1.6819999997096602E-2</c:v>
                </c:pt>
                <c:pt idx="14">
                  <c:v>1.7780000001948792E-2</c:v>
                </c:pt>
                <c:pt idx="15">
                  <c:v>1.7680000004475005E-2</c:v>
                </c:pt>
                <c:pt idx="16">
                  <c:v>1.3499999986379407E-3</c:v>
                </c:pt>
                <c:pt idx="17">
                  <c:v>3.3499999990453944E-3</c:v>
                </c:pt>
                <c:pt idx="18">
                  <c:v>1.359999999840511E-2</c:v>
                </c:pt>
                <c:pt idx="19">
                  <c:v>1.2529999999969732E-2</c:v>
                </c:pt>
                <c:pt idx="20">
                  <c:v>1.2099999999918509E-2</c:v>
                </c:pt>
                <c:pt idx="21">
                  <c:v>1.2909999997646082E-2</c:v>
                </c:pt>
                <c:pt idx="22">
                  <c:v>1.690000000235159E-2</c:v>
                </c:pt>
                <c:pt idx="23">
                  <c:v>2.4760000000242144E-2</c:v>
                </c:pt>
                <c:pt idx="24">
                  <c:v>2.0369999998365529E-2</c:v>
                </c:pt>
                <c:pt idx="25">
                  <c:v>2.8990000006160699E-2</c:v>
                </c:pt>
                <c:pt idx="26">
                  <c:v>3.9040000003296882E-2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EC-4B78-8734-5471D1A7734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6">
                    <c:v>0</c:v>
                  </c:pt>
                  <c:pt idx="22">
                    <c:v>0</c:v>
                  </c:pt>
                  <c:pt idx="23">
                    <c:v>8.9999999999999993E-3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6">
                    <c:v>0</c:v>
                  </c:pt>
                  <c:pt idx="22">
                    <c:v>0</c:v>
                  </c:pt>
                  <c:pt idx="23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</c:v>
                </c:pt>
                <c:pt idx="2">
                  <c:v>27</c:v>
                </c:pt>
                <c:pt idx="3">
                  <c:v>92</c:v>
                </c:pt>
                <c:pt idx="4">
                  <c:v>1835</c:v>
                </c:pt>
                <c:pt idx="5">
                  <c:v>1888</c:v>
                </c:pt>
                <c:pt idx="6">
                  <c:v>1889</c:v>
                </c:pt>
                <c:pt idx="7">
                  <c:v>2430</c:v>
                </c:pt>
                <c:pt idx="8">
                  <c:v>2439</c:v>
                </c:pt>
                <c:pt idx="9">
                  <c:v>2465</c:v>
                </c:pt>
                <c:pt idx="10">
                  <c:v>2611</c:v>
                </c:pt>
                <c:pt idx="11">
                  <c:v>4190</c:v>
                </c:pt>
                <c:pt idx="12">
                  <c:v>4454</c:v>
                </c:pt>
                <c:pt idx="13">
                  <c:v>4538</c:v>
                </c:pt>
                <c:pt idx="14">
                  <c:v>4602</c:v>
                </c:pt>
                <c:pt idx="15">
                  <c:v>4912</c:v>
                </c:pt>
                <c:pt idx="16">
                  <c:v>5015</c:v>
                </c:pt>
                <c:pt idx="17">
                  <c:v>5015</c:v>
                </c:pt>
                <c:pt idx="18">
                  <c:v>5040</c:v>
                </c:pt>
                <c:pt idx="19">
                  <c:v>5177</c:v>
                </c:pt>
                <c:pt idx="20">
                  <c:v>5490</c:v>
                </c:pt>
                <c:pt idx="21">
                  <c:v>5519</c:v>
                </c:pt>
                <c:pt idx="22">
                  <c:v>5610</c:v>
                </c:pt>
                <c:pt idx="23">
                  <c:v>5984</c:v>
                </c:pt>
                <c:pt idx="24">
                  <c:v>6333</c:v>
                </c:pt>
                <c:pt idx="25">
                  <c:v>6461</c:v>
                </c:pt>
                <c:pt idx="26">
                  <c:v>6536</c:v>
                </c:pt>
                <c:pt idx="27">
                  <c:v>6690</c:v>
                </c:pt>
                <c:pt idx="28">
                  <c:v>7754</c:v>
                </c:pt>
                <c:pt idx="29">
                  <c:v>7756</c:v>
                </c:pt>
                <c:pt idx="30">
                  <c:v>7969</c:v>
                </c:pt>
                <c:pt idx="31">
                  <c:v>8104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8">
                  <c:v>2.7459999997518025E-2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EC-4B78-8734-5471D1A7734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6">
                    <c:v>0</c:v>
                  </c:pt>
                  <c:pt idx="22">
                    <c:v>0</c:v>
                  </c:pt>
                  <c:pt idx="23">
                    <c:v>8.9999999999999993E-3</c:v>
                  </c:pt>
                  <c:pt idx="24">
                    <c:v>8.9999999999999993E-3</c:v>
                  </c:pt>
                  <c:pt idx="25">
                    <c:v>5.0000000000000001E-4</c:v>
                  </c:pt>
                  <c:pt idx="26">
                    <c:v>0.02</c:v>
                  </c:pt>
                  <c:pt idx="27">
                    <c:v>6.0000000000000001E-3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6">
                    <c:v>0</c:v>
                  </c:pt>
                  <c:pt idx="22">
                    <c:v>0</c:v>
                  </c:pt>
                  <c:pt idx="23">
                    <c:v>8.9999999999999993E-3</c:v>
                  </c:pt>
                  <c:pt idx="24">
                    <c:v>8.9999999999999993E-3</c:v>
                  </c:pt>
                  <c:pt idx="25">
                    <c:v>5.0000000000000001E-4</c:v>
                  </c:pt>
                  <c:pt idx="26">
                    <c:v>0.02</c:v>
                  </c:pt>
                  <c:pt idx="27">
                    <c:v>6.0000000000000001E-3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</c:v>
                </c:pt>
                <c:pt idx="2">
                  <c:v>27</c:v>
                </c:pt>
                <c:pt idx="3">
                  <c:v>92</c:v>
                </c:pt>
                <c:pt idx="4">
                  <c:v>1835</c:v>
                </c:pt>
                <c:pt idx="5">
                  <c:v>1888</c:v>
                </c:pt>
                <c:pt idx="6">
                  <c:v>1889</c:v>
                </c:pt>
                <c:pt idx="7">
                  <c:v>2430</c:v>
                </c:pt>
                <c:pt idx="8">
                  <c:v>2439</c:v>
                </c:pt>
                <c:pt idx="9">
                  <c:v>2465</c:v>
                </c:pt>
                <c:pt idx="10">
                  <c:v>2611</c:v>
                </c:pt>
                <c:pt idx="11">
                  <c:v>4190</c:v>
                </c:pt>
                <c:pt idx="12">
                  <c:v>4454</c:v>
                </c:pt>
                <c:pt idx="13">
                  <c:v>4538</c:v>
                </c:pt>
                <c:pt idx="14">
                  <c:v>4602</c:v>
                </c:pt>
                <c:pt idx="15">
                  <c:v>4912</c:v>
                </c:pt>
                <c:pt idx="16">
                  <c:v>5015</c:v>
                </c:pt>
                <c:pt idx="17">
                  <c:v>5015</c:v>
                </c:pt>
                <c:pt idx="18">
                  <c:v>5040</c:v>
                </c:pt>
                <c:pt idx="19">
                  <c:v>5177</c:v>
                </c:pt>
                <c:pt idx="20">
                  <c:v>5490</c:v>
                </c:pt>
                <c:pt idx="21">
                  <c:v>5519</c:v>
                </c:pt>
                <c:pt idx="22">
                  <c:v>5610</c:v>
                </c:pt>
                <c:pt idx="23">
                  <c:v>5984</c:v>
                </c:pt>
                <c:pt idx="24">
                  <c:v>6333</c:v>
                </c:pt>
                <c:pt idx="25">
                  <c:v>6461</c:v>
                </c:pt>
                <c:pt idx="26">
                  <c:v>6536</c:v>
                </c:pt>
                <c:pt idx="27">
                  <c:v>6690</c:v>
                </c:pt>
                <c:pt idx="28">
                  <c:v>7754</c:v>
                </c:pt>
                <c:pt idx="29">
                  <c:v>7756</c:v>
                </c:pt>
                <c:pt idx="30">
                  <c:v>7969</c:v>
                </c:pt>
                <c:pt idx="31">
                  <c:v>8104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7">
                  <c:v>2.9699999999138527E-2</c:v>
                </c:pt>
                <c:pt idx="29">
                  <c:v>2.5740000004589092E-2</c:v>
                </c:pt>
                <c:pt idx="30">
                  <c:v>2.6709999998274725E-2</c:v>
                </c:pt>
                <c:pt idx="31">
                  <c:v>2.7459999997518025E-2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EC-4B78-8734-5471D1A7734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6">
                    <c:v>0</c:v>
                  </c:pt>
                  <c:pt idx="22">
                    <c:v>0</c:v>
                  </c:pt>
                  <c:pt idx="23">
                    <c:v>8.9999999999999993E-3</c:v>
                  </c:pt>
                  <c:pt idx="24">
                    <c:v>8.9999999999999993E-3</c:v>
                  </c:pt>
                  <c:pt idx="25">
                    <c:v>5.0000000000000001E-4</c:v>
                  </c:pt>
                  <c:pt idx="26">
                    <c:v>0.02</c:v>
                  </c:pt>
                  <c:pt idx="27">
                    <c:v>6.0000000000000001E-3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6">
                    <c:v>0</c:v>
                  </c:pt>
                  <c:pt idx="22">
                    <c:v>0</c:v>
                  </c:pt>
                  <c:pt idx="23">
                    <c:v>8.9999999999999993E-3</c:v>
                  </c:pt>
                  <c:pt idx="24">
                    <c:v>8.9999999999999993E-3</c:v>
                  </c:pt>
                  <c:pt idx="25">
                    <c:v>5.0000000000000001E-4</c:v>
                  </c:pt>
                  <c:pt idx="26">
                    <c:v>0.02</c:v>
                  </c:pt>
                  <c:pt idx="27">
                    <c:v>6.0000000000000001E-3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</c:v>
                </c:pt>
                <c:pt idx="2">
                  <c:v>27</c:v>
                </c:pt>
                <c:pt idx="3">
                  <c:v>92</c:v>
                </c:pt>
                <c:pt idx="4">
                  <c:v>1835</c:v>
                </c:pt>
                <c:pt idx="5">
                  <c:v>1888</c:v>
                </c:pt>
                <c:pt idx="6">
                  <c:v>1889</c:v>
                </c:pt>
                <c:pt idx="7">
                  <c:v>2430</c:v>
                </c:pt>
                <c:pt idx="8">
                  <c:v>2439</c:v>
                </c:pt>
                <c:pt idx="9">
                  <c:v>2465</c:v>
                </c:pt>
                <c:pt idx="10">
                  <c:v>2611</c:v>
                </c:pt>
                <c:pt idx="11">
                  <c:v>4190</c:v>
                </c:pt>
                <c:pt idx="12">
                  <c:v>4454</c:v>
                </c:pt>
                <c:pt idx="13">
                  <c:v>4538</c:v>
                </c:pt>
                <c:pt idx="14">
                  <c:v>4602</c:v>
                </c:pt>
                <c:pt idx="15">
                  <c:v>4912</c:v>
                </c:pt>
                <c:pt idx="16">
                  <c:v>5015</c:v>
                </c:pt>
                <c:pt idx="17">
                  <c:v>5015</c:v>
                </c:pt>
                <c:pt idx="18">
                  <c:v>5040</c:v>
                </c:pt>
                <c:pt idx="19">
                  <c:v>5177</c:v>
                </c:pt>
                <c:pt idx="20">
                  <c:v>5490</c:v>
                </c:pt>
                <c:pt idx="21">
                  <c:v>5519</c:v>
                </c:pt>
                <c:pt idx="22">
                  <c:v>5610</c:v>
                </c:pt>
                <c:pt idx="23">
                  <c:v>5984</c:v>
                </c:pt>
                <c:pt idx="24">
                  <c:v>6333</c:v>
                </c:pt>
                <c:pt idx="25">
                  <c:v>6461</c:v>
                </c:pt>
                <c:pt idx="26">
                  <c:v>6536</c:v>
                </c:pt>
                <c:pt idx="27">
                  <c:v>6690</c:v>
                </c:pt>
                <c:pt idx="28">
                  <c:v>7754</c:v>
                </c:pt>
                <c:pt idx="29">
                  <c:v>7756</c:v>
                </c:pt>
                <c:pt idx="30">
                  <c:v>7969</c:v>
                </c:pt>
                <c:pt idx="31">
                  <c:v>8104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EC-4B78-8734-5471D1A7734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6">
                    <c:v>0</c:v>
                  </c:pt>
                  <c:pt idx="22">
                    <c:v>0</c:v>
                  </c:pt>
                  <c:pt idx="23">
                    <c:v>8.9999999999999993E-3</c:v>
                  </c:pt>
                  <c:pt idx="24">
                    <c:v>8.9999999999999993E-3</c:v>
                  </c:pt>
                  <c:pt idx="25">
                    <c:v>5.0000000000000001E-4</c:v>
                  </c:pt>
                  <c:pt idx="26">
                    <c:v>0.02</c:v>
                  </c:pt>
                  <c:pt idx="27">
                    <c:v>6.0000000000000001E-3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6">
                    <c:v>0</c:v>
                  </c:pt>
                  <c:pt idx="22">
                    <c:v>0</c:v>
                  </c:pt>
                  <c:pt idx="23">
                    <c:v>8.9999999999999993E-3</c:v>
                  </c:pt>
                  <c:pt idx="24">
                    <c:v>8.9999999999999993E-3</c:v>
                  </c:pt>
                  <c:pt idx="25">
                    <c:v>5.0000000000000001E-4</c:v>
                  </c:pt>
                  <c:pt idx="26">
                    <c:v>0.02</c:v>
                  </c:pt>
                  <c:pt idx="27">
                    <c:v>6.0000000000000001E-3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</c:v>
                </c:pt>
                <c:pt idx="2">
                  <c:v>27</c:v>
                </c:pt>
                <c:pt idx="3">
                  <c:v>92</c:v>
                </c:pt>
                <c:pt idx="4">
                  <c:v>1835</c:v>
                </c:pt>
                <c:pt idx="5">
                  <c:v>1888</c:v>
                </c:pt>
                <c:pt idx="6">
                  <c:v>1889</c:v>
                </c:pt>
                <c:pt idx="7">
                  <c:v>2430</c:v>
                </c:pt>
                <c:pt idx="8">
                  <c:v>2439</c:v>
                </c:pt>
                <c:pt idx="9">
                  <c:v>2465</c:v>
                </c:pt>
                <c:pt idx="10">
                  <c:v>2611</c:v>
                </c:pt>
                <c:pt idx="11">
                  <c:v>4190</c:v>
                </c:pt>
                <c:pt idx="12">
                  <c:v>4454</c:v>
                </c:pt>
                <c:pt idx="13">
                  <c:v>4538</c:v>
                </c:pt>
                <c:pt idx="14">
                  <c:v>4602</c:v>
                </c:pt>
                <c:pt idx="15">
                  <c:v>4912</c:v>
                </c:pt>
                <c:pt idx="16">
                  <c:v>5015</c:v>
                </c:pt>
                <c:pt idx="17">
                  <c:v>5015</c:v>
                </c:pt>
                <c:pt idx="18">
                  <c:v>5040</c:v>
                </c:pt>
                <c:pt idx="19">
                  <c:v>5177</c:v>
                </c:pt>
                <c:pt idx="20">
                  <c:v>5490</c:v>
                </c:pt>
                <c:pt idx="21">
                  <c:v>5519</c:v>
                </c:pt>
                <c:pt idx="22">
                  <c:v>5610</c:v>
                </c:pt>
                <c:pt idx="23">
                  <c:v>5984</c:v>
                </c:pt>
                <c:pt idx="24">
                  <c:v>6333</c:v>
                </c:pt>
                <c:pt idx="25">
                  <c:v>6461</c:v>
                </c:pt>
                <c:pt idx="26">
                  <c:v>6536</c:v>
                </c:pt>
                <c:pt idx="27">
                  <c:v>6690</c:v>
                </c:pt>
                <c:pt idx="28">
                  <c:v>7754</c:v>
                </c:pt>
                <c:pt idx="29">
                  <c:v>7756</c:v>
                </c:pt>
                <c:pt idx="30">
                  <c:v>7969</c:v>
                </c:pt>
                <c:pt idx="31">
                  <c:v>8104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EC-4B78-8734-5471D1A7734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6">
                    <c:v>0</c:v>
                  </c:pt>
                  <c:pt idx="22">
                    <c:v>0</c:v>
                  </c:pt>
                  <c:pt idx="23">
                    <c:v>8.9999999999999993E-3</c:v>
                  </c:pt>
                  <c:pt idx="24">
                    <c:v>8.9999999999999993E-3</c:v>
                  </c:pt>
                  <c:pt idx="25">
                    <c:v>5.0000000000000001E-4</c:v>
                  </c:pt>
                  <c:pt idx="26">
                    <c:v>0.02</c:v>
                  </c:pt>
                  <c:pt idx="27">
                    <c:v>6.0000000000000001E-3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6">
                    <c:v>0</c:v>
                  </c:pt>
                  <c:pt idx="22">
                    <c:v>0</c:v>
                  </c:pt>
                  <c:pt idx="23">
                    <c:v>8.9999999999999993E-3</c:v>
                  </c:pt>
                  <c:pt idx="24">
                    <c:v>8.9999999999999993E-3</c:v>
                  </c:pt>
                  <c:pt idx="25">
                    <c:v>5.0000000000000001E-4</c:v>
                  </c:pt>
                  <c:pt idx="26">
                    <c:v>0.02</c:v>
                  </c:pt>
                  <c:pt idx="27">
                    <c:v>6.0000000000000001E-3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</c:v>
                </c:pt>
                <c:pt idx="2">
                  <c:v>27</c:v>
                </c:pt>
                <c:pt idx="3">
                  <c:v>92</c:v>
                </c:pt>
                <c:pt idx="4">
                  <c:v>1835</c:v>
                </c:pt>
                <c:pt idx="5">
                  <c:v>1888</c:v>
                </c:pt>
                <c:pt idx="6">
                  <c:v>1889</c:v>
                </c:pt>
                <c:pt idx="7">
                  <c:v>2430</c:v>
                </c:pt>
                <c:pt idx="8">
                  <c:v>2439</c:v>
                </c:pt>
                <c:pt idx="9">
                  <c:v>2465</c:v>
                </c:pt>
                <c:pt idx="10">
                  <c:v>2611</c:v>
                </c:pt>
                <c:pt idx="11">
                  <c:v>4190</c:v>
                </c:pt>
                <c:pt idx="12">
                  <c:v>4454</c:v>
                </c:pt>
                <c:pt idx="13">
                  <c:v>4538</c:v>
                </c:pt>
                <c:pt idx="14">
                  <c:v>4602</c:v>
                </c:pt>
                <c:pt idx="15">
                  <c:v>4912</c:v>
                </c:pt>
                <c:pt idx="16">
                  <c:v>5015</c:v>
                </c:pt>
                <c:pt idx="17">
                  <c:v>5015</c:v>
                </c:pt>
                <c:pt idx="18">
                  <c:v>5040</c:v>
                </c:pt>
                <c:pt idx="19">
                  <c:v>5177</c:v>
                </c:pt>
                <c:pt idx="20">
                  <c:v>5490</c:v>
                </c:pt>
                <c:pt idx="21">
                  <c:v>5519</c:v>
                </c:pt>
                <c:pt idx="22">
                  <c:v>5610</c:v>
                </c:pt>
                <c:pt idx="23">
                  <c:v>5984</c:v>
                </c:pt>
                <c:pt idx="24">
                  <c:v>6333</c:v>
                </c:pt>
                <c:pt idx="25">
                  <c:v>6461</c:v>
                </c:pt>
                <c:pt idx="26">
                  <c:v>6536</c:v>
                </c:pt>
                <c:pt idx="27">
                  <c:v>6690</c:v>
                </c:pt>
                <c:pt idx="28">
                  <c:v>7754</c:v>
                </c:pt>
                <c:pt idx="29">
                  <c:v>7756</c:v>
                </c:pt>
                <c:pt idx="30">
                  <c:v>7969</c:v>
                </c:pt>
                <c:pt idx="31">
                  <c:v>8104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28">
                  <c:v>2.7459999997518025E-2</c:v>
                </c:pt>
                <c:pt idx="30">
                  <c:v>2.6709999998274725E-2</c:v>
                </c:pt>
                <c:pt idx="31">
                  <c:v>2.7459999997518025E-2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EC-4B78-8734-5471D1A7734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</c:v>
                </c:pt>
                <c:pt idx="2">
                  <c:v>27</c:v>
                </c:pt>
                <c:pt idx="3">
                  <c:v>92</c:v>
                </c:pt>
                <c:pt idx="4">
                  <c:v>1835</c:v>
                </c:pt>
                <c:pt idx="5">
                  <c:v>1888</c:v>
                </c:pt>
                <c:pt idx="6">
                  <c:v>1889</c:v>
                </c:pt>
                <c:pt idx="7">
                  <c:v>2430</c:v>
                </c:pt>
                <c:pt idx="8">
                  <c:v>2439</c:v>
                </c:pt>
                <c:pt idx="9">
                  <c:v>2465</c:v>
                </c:pt>
                <c:pt idx="10">
                  <c:v>2611</c:v>
                </c:pt>
                <c:pt idx="11">
                  <c:v>4190</c:v>
                </c:pt>
                <c:pt idx="12">
                  <c:v>4454</c:v>
                </c:pt>
                <c:pt idx="13">
                  <c:v>4538</c:v>
                </c:pt>
                <c:pt idx="14">
                  <c:v>4602</c:v>
                </c:pt>
                <c:pt idx="15">
                  <c:v>4912</c:v>
                </c:pt>
                <c:pt idx="16">
                  <c:v>5015</c:v>
                </c:pt>
                <c:pt idx="17">
                  <c:v>5015</c:v>
                </c:pt>
                <c:pt idx="18">
                  <c:v>5040</c:v>
                </c:pt>
                <c:pt idx="19">
                  <c:v>5177</c:v>
                </c:pt>
                <c:pt idx="20">
                  <c:v>5490</c:v>
                </c:pt>
                <c:pt idx="21">
                  <c:v>5519</c:v>
                </c:pt>
                <c:pt idx="22">
                  <c:v>5610</c:v>
                </c:pt>
                <c:pt idx="23">
                  <c:v>5984</c:v>
                </c:pt>
                <c:pt idx="24">
                  <c:v>6333</c:v>
                </c:pt>
                <c:pt idx="25">
                  <c:v>6461</c:v>
                </c:pt>
                <c:pt idx="26">
                  <c:v>6536</c:v>
                </c:pt>
                <c:pt idx="27">
                  <c:v>6690</c:v>
                </c:pt>
                <c:pt idx="28">
                  <c:v>7754</c:v>
                </c:pt>
                <c:pt idx="29">
                  <c:v>7756</c:v>
                </c:pt>
                <c:pt idx="30">
                  <c:v>7969</c:v>
                </c:pt>
                <c:pt idx="31">
                  <c:v>8104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1">
                  <c:v>1.0442782491858957E-2</c:v>
                </c:pt>
                <c:pt idx="12">
                  <c:v>1.1825229485993797E-2</c:v>
                </c:pt>
                <c:pt idx="13">
                  <c:v>1.2265098984127608E-2</c:v>
                </c:pt>
                <c:pt idx="14">
                  <c:v>1.2600237649372417E-2</c:v>
                </c:pt>
                <c:pt idx="15">
                  <c:v>1.4223565559151965E-2</c:v>
                </c:pt>
                <c:pt idx="16">
                  <c:v>1.4762929348530331E-2</c:v>
                </c:pt>
                <c:pt idx="17">
                  <c:v>1.4762929348530331E-2</c:v>
                </c:pt>
                <c:pt idx="18">
                  <c:v>1.4893842889641584E-2</c:v>
                </c:pt>
                <c:pt idx="19">
                  <c:v>1.5611249094931251E-2</c:v>
                </c:pt>
                <c:pt idx="20">
                  <c:v>1.7250286629644149E-2</c:v>
                </c:pt>
                <c:pt idx="21">
                  <c:v>1.7402146337333203E-2</c:v>
                </c:pt>
                <c:pt idx="22">
                  <c:v>1.7878671626978166E-2</c:v>
                </c:pt>
                <c:pt idx="23">
                  <c:v>1.983713820200252E-2</c:v>
                </c:pt>
                <c:pt idx="24">
                  <c:v>2.1664691235915624E-2</c:v>
                </c:pt>
                <c:pt idx="25">
                  <c:v>2.2334968566405242E-2</c:v>
                </c:pt>
                <c:pt idx="26">
                  <c:v>2.2727709189739004E-2</c:v>
                </c:pt>
                <c:pt idx="27">
                  <c:v>2.3534136602984323E-2</c:v>
                </c:pt>
                <c:pt idx="28">
                  <c:v>2.9105816912679282E-2</c:v>
                </c:pt>
                <c:pt idx="29">
                  <c:v>2.9116289995968183E-2</c:v>
                </c:pt>
                <c:pt idx="30">
                  <c:v>3.0231673366236059E-2</c:v>
                </c:pt>
                <c:pt idx="31">
                  <c:v>3.093860648823683E-2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EC-4B78-8734-5471D1A77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482016"/>
        <c:axId val="1"/>
      </c:scatterChart>
      <c:valAx>
        <c:axId val="670482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482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603327476627404"/>
          <c:y val="0.92000129214617399"/>
          <c:w val="0.859504999891542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0</xdr:row>
      <xdr:rowOff>0</xdr:rowOff>
    </xdr:from>
    <xdr:to>
      <xdr:col>17</xdr:col>
      <xdr:colOff>400049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6959071-1554-E13E-52BF-76639CE87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09" TargetMode="External"/><Relationship Id="rId2" Type="http://schemas.openxmlformats.org/officeDocument/2006/relationships/hyperlink" Target="http://www.konkoly.hu/cgi-bin/IBVS?5263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6011" TargetMode="External"/><Relationship Id="rId5" Type="http://schemas.openxmlformats.org/officeDocument/2006/relationships/hyperlink" Target="http://www.konkoly.hu/cgi-bin/IBVS?5960" TargetMode="External"/><Relationship Id="rId4" Type="http://schemas.openxmlformats.org/officeDocument/2006/relationships/hyperlink" Target="http://www.konkoly.hu/cgi-bin/IBVS?58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9"/>
  <sheetViews>
    <sheetView tabSelected="1" workbookViewId="0">
      <pane xSplit="14" ySplit="22" topLeftCell="O3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44</v>
      </c>
    </row>
    <row r="2" spans="1:6" x14ac:dyDescent="0.2">
      <c r="A2" t="s">
        <v>24</v>
      </c>
      <c r="B2" s="10" t="s">
        <v>43</v>
      </c>
    </row>
    <row r="4" spans="1:6" ht="14.25" thickTop="1" thickBot="1" x14ac:dyDescent="0.25">
      <c r="A4" s="6" t="s">
        <v>0</v>
      </c>
      <c r="C4" s="3">
        <v>30735.398000000001</v>
      </c>
      <c r="D4" s="4">
        <v>3.1091099999999998</v>
      </c>
    </row>
    <row r="5" spans="1:6" ht="13.5" thickTop="1" x14ac:dyDescent="0.2">
      <c r="A5" s="11" t="s">
        <v>45</v>
      </c>
      <c r="B5" s="12"/>
      <c r="C5" s="13">
        <v>-9.5</v>
      </c>
      <c r="D5" s="12" t="s">
        <v>46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30735.398000000001</v>
      </c>
    </row>
    <row r="8" spans="1:6" x14ac:dyDescent="0.2">
      <c r="A8" t="s">
        <v>3</v>
      </c>
      <c r="C8">
        <f>+D4</f>
        <v>3.1091099999999998</v>
      </c>
    </row>
    <row r="9" spans="1:6" x14ac:dyDescent="0.2">
      <c r="A9" s="27" t="s">
        <v>50</v>
      </c>
      <c r="B9" s="28">
        <v>32</v>
      </c>
      <c r="C9" s="16" t="str">
        <f>"F"&amp;B9</f>
        <v>F32</v>
      </c>
      <c r="D9" s="17" t="str">
        <f>"G"&amp;B9</f>
        <v>G32</v>
      </c>
    </row>
    <row r="10" spans="1:6" ht="13.5" thickBot="1" x14ac:dyDescent="0.25">
      <c r="A10" s="12"/>
      <c r="B10" s="12"/>
      <c r="C10" s="5" t="s">
        <v>20</v>
      </c>
      <c r="D10" s="5" t="s">
        <v>21</v>
      </c>
      <c r="E10" s="12"/>
    </row>
    <row r="11" spans="1:6" x14ac:dyDescent="0.2">
      <c r="A11" s="12" t="s">
        <v>16</v>
      </c>
      <c r="B11" s="12"/>
      <c r="C11" s="14">
        <f ca="1">INTERCEPT(INDIRECT($D$9):G992,INDIRECT($C$9):F992)</f>
        <v>-1.1498326998387157E-2</v>
      </c>
      <c r="D11" s="15"/>
      <c r="E11" s="12"/>
    </row>
    <row r="12" spans="1:6" x14ac:dyDescent="0.2">
      <c r="A12" s="12" t="s">
        <v>17</v>
      </c>
      <c r="B12" s="12"/>
      <c r="C12" s="14">
        <f ca="1">SLOPE(INDIRECT($D$9):G992,INDIRECT($C$9):F992)</f>
        <v>5.2365416444501468E-6</v>
      </c>
      <c r="D12" s="15"/>
      <c r="E12" s="12"/>
    </row>
    <row r="13" spans="1:6" x14ac:dyDescent="0.2">
      <c r="A13" s="12" t="s">
        <v>19</v>
      </c>
      <c r="B13" s="12"/>
      <c r="C13" s="15" t="s">
        <v>14</v>
      </c>
    </row>
    <row r="14" spans="1:6" x14ac:dyDescent="0.2">
      <c r="A14" s="12"/>
      <c r="B14" s="12"/>
      <c r="C14" s="12"/>
    </row>
    <row r="15" spans="1:6" x14ac:dyDescent="0.2">
      <c r="A15" s="18" t="s">
        <v>18</v>
      </c>
      <c r="B15" s="12"/>
      <c r="C15" s="19">
        <f ca="1">(C7+C11)+(C8+C12)*INT(MAX(F21:F3533))</f>
        <v>55931.656378606487</v>
      </c>
      <c r="E15" s="20" t="s">
        <v>52</v>
      </c>
      <c r="F15" s="13">
        <v>1</v>
      </c>
    </row>
    <row r="16" spans="1:6" x14ac:dyDescent="0.2">
      <c r="A16" s="22" t="s">
        <v>4</v>
      </c>
      <c r="B16" s="12"/>
      <c r="C16" s="23">
        <f ca="1">+C8+C12</f>
        <v>3.1091152365416441</v>
      </c>
      <c r="E16" s="20" t="s">
        <v>47</v>
      </c>
      <c r="F16" s="21">
        <f ca="1">NOW()+15018.5+$C$5/24</f>
        <v>60324.776404745367</v>
      </c>
    </row>
    <row r="17" spans="1:19" ht="13.5" thickBot="1" x14ac:dyDescent="0.25">
      <c r="A17" s="20" t="s">
        <v>42</v>
      </c>
      <c r="B17" s="12"/>
      <c r="C17" s="12">
        <f>COUNT(C21:C2191)</f>
        <v>32</v>
      </c>
      <c r="E17" s="20" t="s">
        <v>53</v>
      </c>
      <c r="F17" s="21">
        <f ca="1">ROUND(2*(F16-$C$7)/$C$8,0)/2+F15</f>
        <v>9518</v>
      </c>
    </row>
    <row r="18" spans="1:19" ht="14.25" thickTop="1" thickBot="1" x14ac:dyDescent="0.25">
      <c r="A18" s="22" t="s">
        <v>5</v>
      </c>
      <c r="B18" s="12"/>
      <c r="C18" s="25">
        <f ca="1">+C15</f>
        <v>55931.656378606487</v>
      </c>
      <c r="D18" s="26">
        <f ca="1">+C16</f>
        <v>3.1091152365416441</v>
      </c>
      <c r="E18" s="20" t="s">
        <v>48</v>
      </c>
      <c r="F18" s="17">
        <f ca="1">ROUND(2*(F16-$C$15)/$C$16,0)/2+F15</f>
        <v>1414</v>
      </c>
    </row>
    <row r="19" spans="1:19" ht="13.5" thickTop="1" x14ac:dyDescent="0.2">
      <c r="E19" s="20" t="s">
        <v>49</v>
      </c>
      <c r="F19" s="24">
        <f ca="1">+$C$15+$C$16*F18-15018.5-$C$5/24</f>
        <v>45309.841156409711</v>
      </c>
    </row>
    <row r="20" spans="1:19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64</v>
      </c>
      <c r="I20" s="8" t="s">
        <v>67</v>
      </c>
      <c r="J20" s="8" t="s">
        <v>61</v>
      </c>
      <c r="K20" s="8" t="s">
        <v>59</v>
      </c>
      <c r="L20" s="8" t="s">
        <v>188</v>
      </c>
      <c r="M20" s="8" t="s">
        <v>189</v>
      </c>
      <c r="N20" s="8" t="s">
        <v>25</v>
      </c>
      <c r="O20" s="8" t="s">
        <v>23</v>
      </c>
      <c r="P20" s="7" t="s">
        <v>22</v>
      </c>
      <c r="Q20" s="5" t="s">
        <v>15</v>
      </c>
    </row>
    <row r="21" spans="1:19" x14ac:dyDescent="0.2">
      <c r="A21" t="s">
        <v>12</v>
      </c>
      <c r="C21" s="9">
        <v>30735.398000000001</v>
      </c>
      <c r="D21" s="9" t="s">
        <v>14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52" si="2">+C21-(C$7+F21*C$8)</f>
        <v>0</v>
      </c>
      <c r="H21">
        <f>+G21</f>
        <v>0</v>
      </c>
      <c r="Q21" s="2">
        <f t="shared" ref="Q21:Q52" si="3">+C21-15018.5</f>
        <v>15716.898000000001</v>
      </c>
    </row>
    <row r="22" spans="1:19" x14ac:dyDescent="0.2">
      <c r="A22" s="54" t="s">
        <v>74</v>
      </c>
      <c r="B22" s="55" t="s">
        <v>41</v>
      </c>
      <c r="C22" s="54">
        <v>30791.406999999999</v>
      </c>
      <c r="D22" s="54" t="s">
        <v>67</v>
      </c>
      <c r="E22" s="29">
        <f t="shared" si="0"/>
        <v>18.014480028046034</v>
      </c>
      <c r="F22" s="29">
        <f t="shared" si="1"/>
        <v>18</v>
      </c>
      <c r="G22" s="29">
        <f t="shared" si="2"/>
        <v>4.5019999997748528E-2</v>
      </c>
      <c r="H22" s="29"/>
      <c r="I22" s="29">
        <f t="shared" ref="I22:I31" si="4">G22</f>
        <v>4.5019999997748528E-2</v>
      </c>
      <c r="K22" s="29"/>
      <c r="L22" s="29"/>
      <c r="M22" s="29"/>
      <c r="O22" s="29"/>
      <c r="P22" s="29"/>
      <c r="Q22" s="31">
        <f t="shared" si="3"/>
        <v>15772.906999999999</v>
      </c>
    </row>
    <row r="23" spans="1:19" x14ac:dyDescent="0.2">
      <c r="A23" s="54" t="s">
        <v>74</v>
      </c>
      <c r="B23" s="55" t="s">
        <v>41</v>
      </c>
      <c r="C23" s="54">
        <v>30819.353999999999</v>
      </c>
      <c r="D23" s="54" t="s">
        <v>67</v>
      </c>
      <c r="E23" s="29">
        <f t="shared" si="0"/>
        <v>27.003226003582476</v>
      </c>
      <c r="F23" s="29">
        <f t="shared" si="1"/>
        <v>27</v>
      </c>
      <c r="G23" s="29">
        <f t="shared" si="2"/>
        <v>1.0029999997641426E-2</v>
      </c>
      <c r="H23" s="29"/>
      <c r="I23" s="29">
        <f t="shared" si="4"/>
        <v>1.0029999997641426E-2</v>
      </c>
      <c r="K23" s="29"/>
      <c r="L23" s="29"/>
      <c r="M23" s="29"/>
      <c r="O23" s="29"/>
      <c r="P23" s="29"/>
      <c r="Q23" s="31">
        <f t="shared" si="3"/>
        <v>15800.853999999999</v>
      </c>
    </row>
    <row r="24" spans="1:19" x14ac:dyDescent="0.2">
      <c r="A24" s="54" t="s">
        <v>74</v>
      </c>
      <c r="B24" s="55" t="s">
        <v>41</v>
      </c>
      <c r="C24" s="54">
        <v>31021.437999999998</v>
      </c>
      <c r="D24" s="54" t="s">
        <v>67</v>
      </c>
      <c r="E24" s="29">
        <f t="shared" si="0"/>
        <v>92.00060467464877</v>
      </c>
      <c r="F24" s="29">
        <f t="shared" si="1"/>
        <v>92</v>
      </c>
      <c r="G24" s="29">
        <f t="shared" si="2"/>
        <v>1.879999996162951E-3</v>
      </c>
      <c r="H24" s="29"/>
      <c r="I24" s="29">
        <f t="shared" si="4"/>
        <v>1.879999996162951E-3</v>
      </c>
      <c r="K24" s="29"/>
      <c r="L24" s="29"/>
      <c r="M24" s="29"/>
      <c r="O24" s="29"/>
      <c r="P24" s="29"/>
      <c r="Q24" s="31">
        <f t="shared" si="3"/>
        <v>16002.937999999998</v>
      </c>
    </row>
    <row r="25" spans="1:19" x14ac:dyDescent="0.2">
      <c r="A25" s="54" t="s">
        <v>74</v>
      </c>
      <c r="B25" s="55" t="s">
        <v>41</v>
      </c>
      <c r="C25" s="54">
        <v>36440.614999999998</v>
      </c>
      <c r="D25" s="54" t="s">
        <v>67</v>
      </c>
      <c r="E25" s="29">
        <f t="shared" si="0"/>
        <v>1835.000048245317</v>
      </c>
      <c r="F25" s="29">
        <f t="shared" si="1"/>
        <v>1835</v>
      </c>
      <c r="G25" s="29">
        <f t="shared" si="2"/>
        <v>1.4999999984866008E-4</v>
      </c>
      <c r="H25" s="29"/>
      <c r="I25" s="29">
        <f t="shared" si="4"/>
        <v>1.4999999984866008E-4</v>
      </c>
      <c r="K25" s="29"/>
      <c r="L25" s="29"/>
      <c r="M25" s="29"/>
      <c r="O25" s="29"/>
      <c r="P25" s="29"/>
      <c r="Q25" s="31">
        <f t="shared" si="3"/>
        <v>21422.114999999998</v>
      </c>
    </row>
    <row r="26" spans="1:19" x14ac:dyDescent="0.2">
      <c r="A26" s="54" t="s">
        <v>74</v>
      </c>
      <c r="B26" s="55" t="s">
        <v>41</v>
      </c>
      <c r="C26" s="54">
        <v>36605.373</v>
      </c>
      <c r="D26" s="54" t="s">
        <v>67</v>
      </c>
      <c r="E26" s="29">
        <f t="shared" si="0"/>
        <v>1887.9920620370456</v>
      </c>
      <c r="F26" s="29">
        <f t="shared" si="1"/>
        <v>1888</v>
      </c>
      <c r="G26" s="29">
        <f t="shared" si="2"/>
        <v>-2.4680000002263114E-2</v>
      </c>
      <c r="H26" s="29"/>
      <c r="I26" s="29">
        <f t="shared" si="4"/>
        <v>-2.4680000002263114E-2</v>
      </c>
      <c r="K26" s="29"/>
      <c r="L26" s="29"/>
      <c r="M26" s="29"/>
      <c r="O26" s="29"/>
      <c r="P26" s="29"/>
      <c r="Q26" s="31">
        <f t="shared" si="3"/>
        <v>21586.873</v>
      </c>
    </row>
    <row r="27" spans="1:19" x14ac:dyDescent="0.2">
      <c r="A27" s="54" t="s">
        <v>74</v>
      </c>
      <c r="B27" s="55" t="s">
        <v>41</v>
      </c>
      <c r="C27" s="54">
        <v>36608.463000000003</v>
      </c>
      <c r="D27" s="54" t="s">
        <v>67</v>
      </c>
      <c r="E27" s="29">
        <f t="shared" si="0"/>
        <v>1888.9859155835602</v>
      </c>
      <c r="F27" s="29">
        <f t="shared" si="1"/>
        <v>1889</v>
      </c>
      <c r="G27" s="29">
        <f t="shared" si="2"/>
        <v>-4.3789999996079132E-2</v>
      </c>
      <c r="H27" s="29"/>
      <c r="I27" s="29">
        <f t="shared" si="4"/>
        <v>-4.3789999996079132E-2</v>
      </c>
      <c r="K27" s="29"/>
      <c r="L27" s="29"/>
      <c r="M27" s="29"/>
      <c r="O27" s="29"/>
      <c r="P27" s="29"/>
      <c r="Q27" s="31">
        <f t="shared" si="3"/>
        <v>21589.963000000003</v>
      </c>
    </row>
    <row r="28" spans="1:19" x14ac:dyDescent="0.2">
      <c r="A28" s="54" t="s">
        <v>74</v>
      </c>
      <c r="B28" s="55" t="s">
        <v>41</v>
      </c>
      <c r="C28" s="54">
        <v>38290.576000000001</v>
      </c>
      <c r="D28" s="54" t="s">
        <v>67</v>
      </c>
      <c r="E28" s="29">
        <f t="shared" si="0"/>
        <v>2430.0130905628944</v>
      </c>
      <c r="F28" s="29">
        <f t="shared" si="1"/>
        <v>2430</v>
      </c>
      <c r="G28" s="29">
        <f t="shared" si="2"/>
        <v>4.0699999997741543E-2</v>
      </c>
      <c r="H28" s="29"/>
      <c r="I28" s="29">
        <f t="shared" si="4"/>
        <v>4.0699999997741543E-2</v>
      </c>
      <c r="K28" s="29"/>
      <c r="L28" s="29"/>
      <c r="M28" s="29"/>
      <c r="O28" s="29"/>
      <c r="P28" s="29"/>
      <c r="Q28" s="31">
        <f t="shared" si="3"/>
        <v>23272.076000000001</v>
      </c>
    </row>
    <row r="29" spans="1:19" x14ac:dyDescent="0.2">
      <c r="A29" s="54" t="s">
        <v>74</v>
      </c>
      <c r="B29" s="55" t="s">
        <v>41</v>
      </c>
      <c r="C29" s="54">
        <v>38318.582999999999</v>
      </c>
      <c r="D29" s="54" t="s">
        <v>67</v>
      </c>
      <c r="E29" s="29">
        <f t="shared" si="0"/>
        <v>2439.0211346655469</v>
      </c>
      <c r="F29" s="29">
        <f t="shared" si="1"/>
        <v>2439</v>
      </c>
      <c r="G29" s="29">
        <f t="shared" si="2"/>
        <v>6.5709999995306134E-2</v>
      </c>
      <c r="H29" s="29"/>
      <c r="I29" s="29">
        <f t="shared" si="4"/>
        <v>6.5709999995306134E-2</v>
      </c>
      <c r="K29" s="29"/>
      <c r="L29" s="29"/>
      <c r="M29" s="29"/>
      <c r="O29" s="29"/>
      <c r="P29" s="29"/>
      <c r="Q29" s="31">
        <f t="shared" si="3"/>
        <v>23300.082999999999</v>
      </c>
    </row>
    <row r="30" spans="1:19" x14ac:dyDescent="0.2">
      <c r="A30" s="54" t="s">
        <v>74</v>
      </c>
      <c r="B30" s="55" t="s">
        <v>41</v>
      </c>
      <c r="C30" s="54">
        <v>38399.345000000001</v>
      </c>
      <c r="D30" s="54" t="s">
        <v>67</v>
      </c>
      <c r="E30" s="29">
        <f t="shared" si="0"/>
        <v>2464.9970570356149</v>
      </c>
      <c r="F30" s="29">
        <f t="shared" si="1"/>
        <v>2465</v>
      </c>
      <c r="G30" s="29">
        <f t="shared" si="2"/>
        <v>-9.1499999980442226E-3</v>
      </c>
      <c r="H30" s="29"/>
      <c r="I30" s="29">
        <f t="shared" si="4"/>
        <v>-9.1499999980442226E-3</v>
      </c>
      <c r="K30" s="29"/>
      <c r="L30" s="29"/>
      <c r="M30" s="29"/>
      <c r="O30" s="29"/>
      <c r="P30" s="29"/>
      <c r="Q30" s="31">
        <f t="shared" si="3"/>
        <v>23380.845000000001</v>
      </c>
    </row>
    <row r="31" spans="1:19" x14ac:dyDescent="0.2">
      <c r="A31" s="54" t="s">
        <v>74</v>
      </c>
      <c r="B31" s="55" t="s">
        <v>41</v>
      </c>
      <c r="C31" s="54">
        <v>38853.317999999999</v>
      </c>
      <c r="D31" s="54" t="s">
        <v>67</v>
      </c>
      <c r="E31" s="29">
        <f t="shared" si="0"/>
        <v>2611.010868061921</v>
      </c>
      <c r="F31" s="29">
        <f t="shared" si="1"/>
        <v>2611</v>
      </c>
      <c r="G31" s="29">
        <f t="shared" si="2"/>
        <v>3.3790000001317821E-2</v>
      </c>
      <c r="H31" s="29"/>
      <c r="I31" s="29">
        <f t="shared" si="4"/>
        <v>3.3790000001317821E-2</v>
      </c>
      <c r="K31" s="29"/>
      <c r="L31" s="29"/>
      <c r="M31" s="29"/>
      <c r="O31" s="29"/>
      <c r="P31" s="29"/>
      <c r="Q31" s="31">
        <f t="shared" si="3"/>
        <v>23834.817999999999</v>
      </c>
    </row>
    <row r="32" spans="1:19" x14ac:dyDescent="0.2">
      <c r="A32" s="29" t="s">
        <v>26</v>
      </c>
      <c r="B32" s="29"/>
      <c r="C32" s="30">
        <v>43762.576000000001</v>
      </c>
      <c r="D32" s="30"/>
      <c r="E32" s="29">
        <f t="shared" si="0"/>
        <v>4190.0022836117087</v>
      </c>
      <c r="F32" s="29">
        <f t="shared" si="1"/>
        <v>4190</v>
      </c>
      <c r="G32" s="29">
        <f t="shared" si="2"/>
        <v>7.100000002537854E-3</v>
      </c>
      <c r="H32" s="29"/>
      <c r="I32" s="29">
        <f>+G32</f>
        <v>7.100000002537854E-3</v>
      </c>
      <c r="J32" s="29"/>
      <c r="K32" s="29"/>
      <c r="L32" s="29"/>
      <c r="M32" s="29"/>
      <c r="N32" s="29"/>
      <c r="O32" s="29">
        <f t="shared" ref="O32:O52" ca="1" si="5">+C$11+C$12*F32</f>
        <v>1.0442782491858957E-2</v>
      </c>
      <c r="P32" s="29"/>
      <c r="Q32" s="31">
        <f t="shared" si="3"/>
        <v>28744.076000000001</v>
      </c>
      <c r="R32" s="29"/>
      <c r="S32" s="29"/>
    </row>
    <row r="33" spans="1:19" x14ac:dyDescent="0.2">
      <c r="A33" s="29" t="s">
        <v>27</v>
      </c>
      <c r="B33" s="29"/>
      <c r="C33" s="30">
        <v>44583.394999999997</v>
      </c>
      <c r="D33" s="30"/>
      <c r="E33" s="29">
        <f t="shared" si="0"/>
        <v>4454.0067736426172</v>
      </c>
      <c r="F33" s="29">
        <f t="shared" si="1"/>
        <v>4454</v>
      </c>
      <c r="G33" s="29">
        <f t="shared" si="2"/>
        <v>2.1059999999124557E-2</v>
      </c>
      <c r="H33" s="29"/>
      <c r="I33" s="29">
        <f>+G33</f>
        <v>2.1059999999124557E-2</v>
      </c>
      <c r="J33" s="29"/>
      <c r="K33" s="29"/>
      <c r="L33" s="29"/>
      <c r="M33" s="29"/>
      <c r="N33" s="29"/>
      <c r="O33" s="29">
        <f t="shared" ca="1" si="5"/>
        <v>1.1825229485993797E-2</v>
      </c>
      <c r="P33" s="29"/>
      <c r="Q33" s="31">
        <f t="shared" si="3"/>
        <v>29564.894999999997</v>
      </c>
      <c r="R33" s="29"/>
      <c r="S33" s="29"/>
    </row>
    <row r="34" spans="1:19" x14ac:dyDescent="0.2">
      <c r="A34" s="29" t="s">
        <v>28</v>
      </c>
      <c r="B34" s="29"/>
      <c r="C34" s="30">
        <v>44844.555999999997</v>
      </c>
      <c r="D34" s="30"/>
      <c r="E34" s="29">
        <f t="shared" si="0"/>
        <v>4538.0054099083009</v>
      </c>
      <c r="F34" s="29">
        <f t="shared" si="1"/>
        <v>4538</v>
      </c>
      <c r="G34" s="29">
        <f t="shared" si="2"/>
        <v>1.6819999997096602E-2</v>
      </c>
      <c r="H34" s="29"/>
      <c r="I34" s="29">
        <f>+G34</f>
        <v>1.6819999997096602E-2</v>
      </c>
      <c r="J34" s="29"/>
      <c r="K34" s="29"/>
      <c r="L34" s="29"/>
      <c r="M34" s="29"/>
      <c r="N34" s="29"/>
      <c r="O34" s="29">
        <f t="shared" ca="1" si="5"/>
        <v>1.2265098984127608E-2</v>
      </c>
      <c r="P34" s="29"/>
      <c r="Q34" s="31">
        <f t="shared" si="3"/>
        <v>29826.055999999997</v>
      </c>
      <c r="R34" s="29"/>
      <c r="S34" s="29"/>
    </row>
    <row r="35" spans="1:19" x14ac:dyDescent="0.2">
      <c r="A35" s="29" t="s">
        <v>29</v>
      </c>
      <c r="B35" s="29"/>
      <c r="C35" s="30">
        <v>45043.54</v>
      </c>
      <c r="D35" s="30"/>
      <c r="E35" s="29">
        <f t="shared" si="0"/>
        <v>4602.0057186783361</v>
      </c>
      <c r="F35" s="29">
        <f t="shared" si="1"/>
        <v>4602</v>
      </c>
      <c r="G35" s="29">
        <f t="shared" si="2"/>
        <v>1.7780000001948792E-2</v>
      </c>
      <c r="H35" s="29"/>
      <c r="I35" s="29">
        <f>+G35</f>
        <v>1.7780000001948792E-2</v>
      </c>
      <c r="J35" s="29"/>
      <c r="K35" s="29"/>
      <c r="L35" s="29"/>
      <c r="M35" s="29"/>
      <c r="N35" s="29"/>
      <c r="O35" s="29">
        <f t="shared" ca="1" si="5"/>
        <v>1.2600237649372417E-2</v>
      </c>
      <c r="P35" s="29"/>
      <c r="Q35" s="31">
        <f t="shared" si="3"/>
        <v>30025.040000000001</v>
      </c>
      <c r="R35" s="29"/>
      <c r="S35" s="29"/>
    </row>
    <row r="36" spans="1:19" x14ac:dyDescent="0.2">
      <c r="A36" s="29" t="s">
        <v>30</v>
      </c>
      <c r="B36" s="29"/>
      <c r="C36" s="30">
        <v>46007.364000000001</v>
      </c>
      <c r="D36" s="30"/>
      <c r="E36" s="29">
        <f t="shared" si="0"/>
        <v>4912.0056865147908</v>
      </c>
      <c r="F36" s="29">
        <f t="shared" si="1"/>
        <v>4912</v>
      </c>
      <c r="G36" s="29">
        <f t="shared" si="2"/>
        <v>1.7680000004475005E-2</v>
      </c>
      <c r="H36" s="29"/>
      <c r="I36" s="29">
        <f>+G36</f>
        <v>1.7680000004475005E-2</v>
      </c>
      <c r="J36" s="29"/>
      <c r="K36" s="29"/>
      <c r="L36" s="29"/>
      <c r="M36" s="29"/>
      <c r="N36" s="29"/>
      <c r="O36" s="29">
        <f t="shared" ca="1" si="5"/>
        <v>1.4223565559151965E-2</v>
      </c>
      <c r="P36" s="29"/>
      <c r="Q36" s="31">
        <f t="shared" si="3"/>
        <v>30988.864000000001</v>
      </c>
      <c r="R36" s="29"/>
      <c r="S36" s="29"/>
    </row>
    <row r="37" spans="1:19" x14ac:dyDescent="0.2">
      <c r="A37" s="54" t="s">
        <v>129</v>
      </c>
      <c r="B37" s="55" t="s">
        <v>41</v>
      </c>
      <c r="C37" s="54">
        <v>46327.586000000003</v>
      </c>
      <c r="D37" s="54" t="s">
        <v>67</v>
      </c>
      <c r="E37" s="29">
        <f t="shared" si="0"/>
        <v>5015.000434207861</v>
      </c>
      <c r="F37" s="29">
        <f t="shared" si="1"/>
        <v>5015</v>
      </c>
      <c r="G37" s="29">
        <f t="shared" si="2"/>
        <v>1.3499999986379407E-3</v>
      </c>
      <c r="H37" s="29"/>
      <c r="I37" s="29">
        <f>G37</f>
        <v>1.3499999986379407E-3</v>
      </c>
      <c r="K37" s="29"/>
      <c r="L37" s="29"/>
      <c r="M37" s="29"/>
      <c r="O37" s="29">
        <f t="shared" ca="1" si="5"/>
        <v>1.4762929348530331E-2</v>
      </c>
      <c r="P37" s="29"/>
      <c r="Q37" s="31">
        <f t="shared" si="3"/>
        <v>31309.086000000003</v>
      </c>
    </row>
    <row r="38" spans="1:19" x14ac:dyDescent="0.2">
      <c r="A38" s="29" t="s">
        <v>31</v>
      </c>
      <c r="B38" s="29"/>
      <c r="C38" s="30">
        <v>46327.588000000003</v>
      </c>
      <c r="D38" s="30"/>
      <c r="E38" s="29">
        <f t="shared" si="0"/>
        <v>5015.0010774787652</v>
      </c>
      <c r="F38" s="29">
        <f t="shared" si="1"/>
        <v>5015</v>
      </c>
      <c r="G38" s="29">
        <f t="shared" si="2"/>
        <v>3.3499999990453944E-3</v>
      </c>
      <c r="H38" s="29"/>
      <c r="I38" s="29">
        <f>+G38</f>
        <v>3.3499999990453944E-3</v>
      </c>
      <c r="J38" s="29"/>
      <c r="K38" s="29"/>
      <c r="L38" s="29"/>
      <c r="M38" s="29"/>
      <c r="N38" s="29"/>
      <c r="O38" s="29">
        <f t="shared" ca="1" si="5"/>
        <v>1.4762929348530331E-2</v>
      </c>
      <c r="P38" s="29"/>
      <c r="Q38" s="31">
        <f t="shared" si="3"/>
        <v>31309.088000000003</v>
      </c>
      <c r="R38" s="29"/>
      <c r="S38" s="29"/>
    </row>
    <row r="39" spans="1:19" x14ac:dyDescent="0.2">
      <c r="A39" s="29" t="s">
        <v>32</v>
      </c>
      <c r="B39" s="29"/>
      <c r="C39" s="30">
        <v>46405.326000000001</v>
      </c>
      <c r="D39" s="30"/>
      <c r="E39" s="29">
        <f t="shared" si="0"/>
        <v>5040.0043742421467</v>
      </c>
      <c r="F39" s="29">
        <f t="shared" si="1"/>
        <v>5040</v>
      </c>
      <c r="G39" s="29">
        <f t="shared" si="2"/>
        <v>1.359999999840511E-2</v>
      </c>
      <c r="H39" s="29"/>
      <c r="I39" s="29">
        <f>+G39</f>
        <v>1.359999999840511E-2</v>
      </c>
      <c r="J39" s="29"/>
      <c r="K39" s="29"/>
      <c r="L39" s="29"/>
      <c r="M39" s="29"/>
      <c r="N39" s="29"/>
      <c r="O39" s="29">
        <f t="shared" ca="1" si="5"/>
        <v>1.4893842889641584E-2</v>
      </c>
      <c r="P39" s="29"/>
      <c r="Q39" s="31">
        <f t="shared" si="3"/>
        <v>31386.826000000001</v>
      </c>
      <c r="R39" s="29"/>
      <c r="S39" s="29"/>
    </row>
    <row r="40" spans="1:19" x14ac:dyDescent="0.2">
      <c r="A40" s="29" t="s">
        <v>33</v>
      </c>
      <c r="B40" s="29"/>
      <c r="C40" s="30">
        <v>46831.273000000001</v>
      </c>
      <c r="D40" s="30"/>
      <c r="E40" s="29">
        <f t="shared" si="0"/>
        <v>5177.0040300922128</v>
      </c>
      <c r="F40" s="29">
        <f t="shared" si="1"/>
        <v>5177</v>
      </c>
      <c r="G40" s="29">
        <f t="shared" si="2"/>
        <v>1.2529999999969732E-2</v>
      </c>
      <c r="H40" s="29"/>
      <c r="I40" s="29">
        <f>+G40</f>
        <v>1.2529999999969732E-2</v>
      </c>
      <c r="J40" s="29"/>
      <c r="K40" s="29"/>
      <c r="L40" s="29"/>
      <c r="M40" s="29"/>
      <c r="N40" s="29"/>
      <c r="O40" s="29">
        <f t="shared" ca="1" si="5"/>
        <v>1.5611249094931251E-2</v>
      </c>
      <c r="P40" s="29"/>
      <c r="Q40" s="31">
        <f t="shared" si="3"/>
        <v>31812.773000000001</v>
      </c>
      <c r="R40" s="29"/>
      <c r="S40" s="29"/>
    </row>
    <row r="41" spans="1:19" x14ac:dyDescent="0.2">
      <c r="A41" s="29" t="s">
        <v>34</v>
      </c>
      <c r="B41" s="29"/>
      <c r="C41" s="30">
        <v>47804.423999999999</v>
      </c>
      <c r="D41" s="30"/>
      <c r="E41" s="29">
        <f t="shared" si="0"/>
        <v>5490.0038917889678</v>
      </c>
      <c r="F41" s="29">
        <f t="shared" si="1"/>
        <v>5490</v>
      </c>
      <c r="G41" s="29">
        <f t="shared" si="2"/>
        <v>1.2099999999918509E-2</v>
      </c>
      <c r="H41" s="29"/>
      <c r="I41" s="29">
        <f>+G41</f>
        <v>1.2099999999918509E-2</v>
      </c>
      <c r="J41" s="29"/>
      <c r="K41" s="29"/>
      <c r="L41" s="29"/>
      <c r="M41" s="29"/>
      <c r="N41" s="29"/>
      <c r="O41" s="29">
        <f t="shared" ca="1" si="5"/>
        <v>1.7250286629644149E-2</v>
      </c>
      <c r="P41" s="29"/>
      <c r="Q41" s="31">
        <f t="shared" si="3"/>
        <v>32785.923999999999</v>
      </c>
      <c r="R41" s="29"/>
      <c r="S41" s="29"/>
    </row>
    <row r="42" spans="1:19" x14ac:dyDescent="0.2">
      <c r="A42" s="29" t="s">
        <v>35</v>
      </c>
      <c r="B42" s="29"/>
      <c r="C42" s="30">
        <v>47894.589</v>
      </c>
      <c r="D42" s="30"/>
      <c r="E42" s="29">
        <f t="shared" si="0"/>
        <v>5519.0041523136842</v>
      </c>
      <c r="F42" s="29">
        <f t="shared" si="1"/>
        <v>5519</v>
      </c>
      <c r="G42" s="29">
        <f t="shared" si="2"/>
        <v>1.2909999997646082E-2</v>
      </c>
      <c r="H42" s="29"/>
      <c r="I42" s="29">
        <f>+G42</f>
        <v>1.2909999997646082E-2</v>
      </c>
      <c r="J42" s="29"/>
      <c r="K42" s="29"/>
      <c r="L42" s="29"/>
      <c r="M42" s="29"/>
      <c r="N42" s="29"/>
      <c r="O42" s="29">
        <f t="shared" ca="1" si="5"/>
        <v>1.7402146337333203E-2</v>
      </c>
      <c r="P42" s="29"/>
      <c r="Q42" s="31">
        <f t="shared" si="3"/>
        <v>32876.089</v>
      </c>
      <c r="R42" s="29"/>
      <c r="S42" s="29"/>
    </row>
    <row r="43" spans="1:19" x14ac:dyDescent="0.2">
      <c r="A43" s="54" t="s">
        <v>144</v>
      </c>
      <c r="B43" s="55" t="s">
        <v>41</v>
      </c>
      <c r="C43" s="54">
        <v>48177.521999999997</v>
      </c>
      <c r="D43" s="54" t="s">
        <v>67</v>
      </c>
      <c r="E43" s="29">
        <f t="shared" si="0"/>
        <v>5610.0054356391374</v>
      </c>
      <c r="F43" s="29">
        <f t="shared" si="1"/>
        <v>5610</v>
      </c>
      <c r="G43" s="29">
        <f t="shared" si="2"/>
        <v>1.690000000235159E-2</v>
      </c>
      <c r="H43" s="29"/>
      <c r="I43" s="29">
        <f>G43</f>
        <v>1.690000000235159E-2</v>
      </c>
      <c r="K43" s="29"/>
      <c r="L43" s="29"/>
      <c r="M43" s="29"/>
      <c r="O43" s="29">
        <f t="shared" ca="1" si="5"/>
        <v>1.7878671626978166E-2</v>
      </c>
      <c r="P43" s="29"/>
      <c r="Q43" s="31">
        <f t="shared" si="3"/>
        <v>33159.021999999997</v>
      </c>
    </row>
    <row r="44" spans="1:19" x14ac:dyDescent="0.2">
      <c r="A44" s="29" t="s">
        <v>36</v>
      </c>
      <c r="B44" s="29"/>
      <c r="C44" s="30">
        <v>49340.337</v>
      </c>
      <c r="D44" s="30">
        <v>8.9999999999999993E-3</v>
      </c>
      <c r="E44" s="29">
        <f t="shared" si="0"/>
        <v>5984.0079636937899</v>
      </c>
      <c r="F44" s="29">
        <f t="shared" si="1"/>
        <v>5984</v>
      </c>
      <c r="G44" s="29">
        <f t="shared" si="2"/>
        <v>2.4760000000242144E-2</v>
      </c>
      <c r="H44" s="29"/>
      <c r="I44" s="29">
        <f>+G44</f>
        <v>2.4760000000242144E-2</v>
      </c>
      <c r="J44" s="29"/>
      <c r="K44" s="29"/>
      <c r="L44" s="29"/>
      <c r="M44" s="29"/>
      <c r="N44" s="29"/>
      <c r="O44" s="29">
        <f t="shared" ca="1" si="5"/>
        <v>1.983713820200252E-2</v>
      </c>
      <c r="P44" s="29"/>
      <c r="Q44" s="31">
        <f t="shared" si="3"/>
        <v>34321.837</v>
      </c>
      <c r="R44" s="29"/>
      <c r="S44" s="29"/>
    </row>
    <row r="45" spans="1:19" x14ac:dyDescent="0.2">
      <c r="A45" s="29" t="s">
        <v>37</v>
      </c>
      <c r="B45" s="29"/>
      <c r="C45" s="30">
        <v>50425.411999999997</v>
      </c>
      <c r="D45" s="30">
        <v>8.9999999999999993E-3</v>
      </c>
      <c r="E45" s="29">
        <f t="shared" si="0"/>
        <v>6333.0065517141547</v>
      </c>
      <c r="F45" s="29">
        <f t="shared" si="1"/>
        <v>6333</v>
      </c>
      <c r="G45" s="29">
        <f t="shared" si="2"/>
        <v>2.0369999998365529E-2</v>
      </c>
      <c r="H45" s="29"/>
      <c r="I45" s="29">
        <f>+G45</f>
        <v>2.0369999998365529E-2</v>
      </c>
      <c r="J45" s="29"/>
      <c r="K45" s="29"/>
      <c r="L45" s="29"/>
      <c r="M45" s="29"/>
      <c r="N45" s="29"/>
      <c r="O45" s="29">
        <f t="shared" ca="1" si="5"/>
        <v>2.1664691235915624E-2</v>
      </c>
      <c r="P45" s="29"/>
      <c r="Q45" s="31">
        <f t="shared" si="3"/>
        <v>35406.911999999997</v>
      </c>
      <c r="R45" s="29"/>
      <c r="S45" s="29"/>
    </row>
    <row r="46" spans="1:19" x14ac:dyDescent="0.2">
      <c r="A46" s="29" t="s">
        <v>38</v>
      </c>
      <c r="B46" s="29"/>
      <c r="C46" s="30">
        <v>50823.386700000003</v>
      </c>
      <c r="D46" s="30">
        <v>5.0000000000000001E-4</v>
      </c>
      <c r="E46" s="29">
        <f t="shared" si="0"/>
        <v>6461.0093242117528</v>
      </c>
      <c r="F46" s="29">
        <f t="shared" si="1"/>
        <v>6461</v>
      </c>
      <c r="G46" s="29">
        <f t="shared" si="2"/>
        <v>2.8990000006160699E-2</v>
      </c>
      <c r="H46" s="29"/>
      <c r="I46" s="29">
        <f>+G46</f>
        <v>2.8990000006160699E-2</v>
      </c>
      <c r="J46" s="29"/>
      <c r="K46" s="29"/>
      <c r="L46" s="29"/>
      <c r="M46" s="29"/>
      <c r="N46" s="29"/>
      <c r="O46" s="29">
        <f t="shared" ca="1" si="5"/>
        <v>2.2334968566405242E-2</v>
      </c>
      <c r="P46" s="29"/>
      <c r="Q46" s="31">
        <f t="shared" si="3"/>
        <v>35804.886700000003</v>
      </c>
      <c r="R46" s="29"/>
      <c r="S46" s="29"/>
    </row>
    <row r="47" spans="1:19" x14ac:dyDescent="0.2">
      <c r="A47" s="29" t="s">
        <v>39</v>
      </c>
      <c r="B47" s="29"/>
      <c r="C47" s="30">
        <v>51056.58</v>
      </c>
      <c r="D47" s="30">
        <v>0.02</v>
      </c>
      <c r="E47" s="29">
        <f t="shared" si="0"/>
        <v>6536.0125566480447</v>
      </c>
      <c r="F47" s="29">
        <f t="shared" si="1"/>
        <v>6536</v>
      </c>
      <c r="G47" s="29">
        <f t="shared" si="2"/>
        <v>3.9040000003296882E-2</v>
      </c>
      <c r="H47" s="29"/>
      <c r="I47" s="29">
        <f>+G47</f>
        <v>3.9040000003296882E-2</v>
      </c>
      <c r="J47" s="29"/>
      <c r="K47" s="29"/>
      <c r="L47" s="29"/>
      <c r="M47" s="29"/>
      <c r="N47" s="29"/>
      <c r="O47" s="29">
        <f t="shared" ca="1" si="5"/>
        <v>2.2727709189739004E-2</v>
      </c>
      <c r="P47" s="29"/>
      <c r="Q47" s="31">
        <f t="shared" si="3"/>
        <v>36038.080000000002</v>
      </c>
      <c r="R47" s="29"/>
      <c r="S47" s="29"/>
    </row>
    <row r="48" spans="1:19" x14ac:dyDescent="0.2">
      <c r="A48" s="29" t="s">
        <v>40</v>
      </c>
      <c r="B48" s="32" t="s">
        <v>41</v>
      </c>
      <c r="C48" s="33">
        <v>51535.373599999999</v>
      </c>
      <c r="D48" s="33">
        <v>6.0000000000000001E-3</v>
      </c>
      <c r="E48" s="29">
        <f t="shared" si="0"/>
        <v>6690.0095525729221</v>
      </c>
      <c r="F48" s="29">
        <f t="shared" si="1"/>
        <v>6690</v>
      </c>
      <c r="G48" s="29">
        <f t="shared" si="2"/>
        <v>2.9699999999138527E-2</v>
      </c>
      <c r="H48" s="29"/>
      <c r="I48" s="29"/>
      <c r="K48" s="29">
        <f>G48</f>
        <v>2.9699999999138527E-2</v>
      </c>
      <c r="L48" s="29"/>
      <c r="M48" s="29"/>
      <c r="N48" s="29"/>
      <c r="O48" s="29">
        <f t="shared" ca="1" si="5"/>
        <v>2.3534136602984323E-2</v>
      </c>
      <c r="P48" s="29"/>
      <c r="Q48" s="31">
        <f t="shared" si="3"/>
        <v>36516.873599999999</v>
      </c>
      <c r="R48" s="29" t="s">
        <v>59</v>
      </c>
      <c r="S48" s="29"/>
    </row>
    <row r="49" spans="1:19" x14ac:dyDescent="0.2">
      <c r="A49" s="39" t="s">
        <v>55</v>
      </c>
      <c r="B49" s="40" t="s">
        <v>41</v>
      </c>
      <c r="C49" s="39">
        <v>54843.464399999997</v>
      </c>
      <c r="D49" s="56">
        <v>4.0000000000000002E-4</v>
      </c>
      <c r="E49" s="29">
        <f t="shared" si="0"/>
        <v>7754.00883210951</v>
      </c>
      <c r="F49" s="29">
        <f t="shared" si="1"/>
        <v>7754</v>
      </c>
      <c r="G49" s="29">
        <f t="shared" si="2"/>
        <v>2.7459999997518025E-2</v>
      </c>
      <c r="H49" s="29"/>
      <c r="I49" s="29"/>
      <c r="J49" s="29">
        <f>G49</f>
        <v>2.7459999997518025E-2</v>
      </c>
      <c r="L49" s="29"/>
      <c r="M49" s="29"/>
      <c r="N49" s="29">
        <f>G49</f>
        <v>2.7459999997518025E-2</v>
      </c>
      <c r="O49" s="29">
        <f t="shared" ca="1" si="5"/>
        <v>2.9105816912679282E-2</v>
      </c>
      <c r="P49" s="29"/>
      <c r="Q49" s="31">
        <f t="shared" si="3"/>
        <v>39824.964399999997</v>
      </c>
      <c r="R49" s="29" t="s">
        <v>61</v>
      </c>
      <c r="S49" s="29"/>
    </row>
    <row r="50" spans="1:19" x14ac:dyDescent="0.2">
      <c r="A50" s="36" t="s">
        <v>51</v>
      </c>
      <c r="B50" s="37" t="s">
        <v>41</v>
      </c>
      <c r="C50" s="36">
        <v>54849.680899999999</v>
      </c>
      <c r="D50" s="36">
        <v>2.9999999999999997E-4</v>
      </c>
      <c r="E50" s="29">
        <f t="shared" si="0"/>
        <v>7756.0082788965328</v>
      </c>
      <c r="F50" s="29">
        <f t="shared" si="1"/>
        <v>7756</v>
      </c>
      <c r="G50" s="29">
        <f t="shared" si="2"/>
        <v>2.5740000004589092E-2</v>
      </c>
      <c r="H50" s="29"/>
      <c r="I50" s="29"/>
      <c r="K50" s="29">
        <f>G50</f>
        <v>2.5740000004589092E-2</v>
      </c>
      <c r="L50" s="29"/>
      <c r="M50" s="29"/>
      <c r="N50" s="29"/>
      <c r="O50" s="29">
        <f t="shared" ca="1" si="5"/>
        <v>2.9116289995968183E-2</v>
      </c>
      <c r="P50" s="29"/>
      <c r="Q50" s="31">
        <f t="shared" si="3"/>
        <v>39831.180899999999</v>
      </c>
      <c r="R50" s="29" t="s">
        <v>59</v>
      </c>
      <c r="S50" s="29"/>
    </row>
    <row r="51" spans="1:19" x14ac:dyDescent="0.2">
      <c r="A51" s="38" t="s">
        <v>54</v>
      </c>
      <c r="B51" s="35" t="s">
        <v>41</v>
      </c>
      <c r="C51" s="34">
        <v>55511.922299999998</v>
      </c>
      <c r="D51" s="34">
        <v>2.9999999999999997E-4</v>
      </c>
      <c r="E51" s="29">
        <f t="shared" si="0"/>
        <v>7969.0085908829215</v>
      </c>
      <c r="F51" s="29">
        <f t="shared" si="1"/>
        <v>7969</v>
      </c>
      <c r="G51" s="29">
        <f t="shared" si="2"/>
        <v>2.6709999998274725E-2</v>
      </c>
      <c r="H51" s="29"/>
      <c r="I51" s="29"/>
      <c r="K51" s="29">
        <f>G51</f>
        <v>2.6709999998274725E-2</v>
      </c>
      <c r="L51" s="29"/>
      <c r="M51" s="29"/>
      <c r="N51" s="29">
        <f>G51</f>
        <v>2.6709999998274725E-2</v>
      </c>
      <c r="O51" s="29">
        <f t="shared" ca="1" si="5"/>
        <v>3.0231673366236059E-2</v>
      </c>
      <c r="P51" s="29"/>
      <c r="Q51" s="31">
        <f t="shared" si="3"/>
        <v>40493.422299999998</v>
      </c>
      <c r="R51" s="29" t="s">
        <v>190</v>
      </c>
      <c r="S51" s="29"/>
    </row>
    <row r="52" spans="1:19" x14ac:dyDescent="0.2">
      <c r="A52" s="39" t="s">
        <v>56</v>
      </c>
      <c r="B52" s="40" t="s">
        <v>41</v>
      </c>
      <c r="C52" s="39">
        <v>55931.652900000001</v>
      </c>
      <c r="D52" s="39">
        <v>4.0000000000000002E-4</v>
      </c>
      <c r="E52" s="29">
        <f t="shared" si="0"/>
        <v>8104.0088321095109</v>
      </c>
      <c r="F52" s="29">
        <f t="shared" si="1"/>
        <v>8104</v>
      </c>
      <c r="G52" s="29">
        <f t="shared" si="2"/>
        <v>2.7459999997518025E-2</v>
      </c>
      <c r="H52" s="29"/>
      <c r="I52" s="29"/>
      <c r="K52" s="29">
        <f>G52</f>
        <v>2.7459999997518025E-2</v>
      </c>
      <c r="L52" s="29"/>
      <c r="M52" s="29"/>
      <c r="N52" s="29">
        <f>G52</f>
        <v>2.7459999997518025E-2</v>
      </c>
      <c r="O52" s="29">
        <f t="shared" ca="1" si="5"/>
        <v>3.093860648823683E-2</v>
      </c>
      <c r="P52" s="29"/>
      <c r="Q52" s="31">
        <f t="shared" si="3"/>
        <v>40913.152900000001</v>
      </c>
      <c r="R52" s="29" t="s">
        <v>59</v>
      </c>
    </row>
    <row r="53" spans="1:19" x14ac:dyDescent="0.2">
      <c r="C53" s="9"/>
      <c r="D53" s="9"/>
    </row>
    <row r="54" spans="1:19" x14ac:dyDescent="0.2">
      <c r="C54" s="9"/>
      <c r="D54" s="9"/>
    </row>
    <row r="55" spans="1:19" x14ac:dyDescent="0.2">
      <c r="C55" s="9"/>
      <c r="D55" s="9"/>
    </row>
    <row r="56" spans="1:19" x14ac:dyDescent="0.2">
      <c r="C56" s="9"/>
      <c r="D56" s="9"/>
    </row>
    <row r="57" spans="1:19" x14ac:dyDescent="0.2">
      <c r="C57" s="9"/>
      <c r="D57" s="9"/>
    </row>
    <row r="58" spans="1:19" x14ac:dyDescent="0.2">
      <c r="C58" s="9"/>
      <c r="D58" s="9"/>
    </row>
    <row r="59" spans="1:19" x14ac:dyDescent="0.2">
      <c r="C59" s="9"/>
      <c r="D59" s="9"/>
    </row>
    <row r="60" spans="1:19" x14ac:dyDescent="0.2">
      <c r="C60" s="9"/>
      <c r="D60" s="9"/>
    </row>
    <row r="61" spans="1:19" x14ac:dyDescent="0.2">
      <c r="C61" s="9"/>
      <c r="D61" s="9"/>
    </row>
    <row r="62" spans="1:19" x14ac:dyDescent="0.2">
      <c r="C62" s="9"/>
      <c r="D62" s="9"/>
    </row>
    <row r="63" spans="1:19" x14ac:dyDescent="0.2">
      <c r="C63" s="9"/>
      <c r="D63" s="9"/>
    </row>
    <row r="64" spans="1:19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9"/>
  <sheetViews>
    <sheetView workbookViewId="0">
      <selection activeCell="A29" sqref="A29:D40"/>
    </sheetView>
  </sheetViews>
  <sheetFormatPr defaultRowHeight="12.75" x14ac:dyDescent="0.2"/>
  <cols>
    <col min="1" max="1" width="19.7109375" style="9" customWidth="1"/>
    <col min="2" max="2" width="4.42578125" style="12" customWidth="1"/>
    <col min="3" max="3" width="12.7109375" style="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1" t="s">
        <v>57</v>
      </c>
      <c r="I1" s="42" t="s">
        <v>58</v>
      </c>
      <c r="J1" s="43" t="s">
        <v>59</v>
      </c>
    </row>
    <row r="2" spans="1:16" x14ac:dyDescent="0.2">
      <c r="I2" s="44" t="s">
        <v>60</v>
      </c>
      <c r="J2" s="45" t="s">
        <v>61</v>
      </c>
    </row>
    <row r="3" spans="1:16" x14ac:dyDescent="0.2">
      <c r="A3" s="46" t="s">
        <v>62</v>
      </c>
      <c r="I3" s="44" t="s">
        <v>63</v>
      </c>
      <c r="J3" s="45" t="s">
        <v>64</v>
      </c>
    </row>
    <row r="4" spans="1:16" x14ac:dyDescent="0.2">
      <c r="I4" s="44" t="s">
        <v>65</v>
      </c>
      <c r="J4" s="45" t="s">
        <v>64</v>
      </c>
    </row>
    <row r="5" spans="1:16" ht="13.5" thickBot="1" x14ac:dyDescent="0.25">
      <c r="I5" s="47" t="s">
        <v>66</v>
      </c>
      <c r="J5" s="48" t="s">
        <v>67</v>
      </c>
    </row>
    <row r="10" spans="1:16" ht="13.5" thickBot="1" x14ac:dyDescent="0.25"/>
    <row r="11" spans="1:16" ht="12.75" customHeight="1" thickBot="1" x14ac:dyDescent="0.25">
      <c r="A11" s="9" t="str">
        <f t="shared" ref="A11:A40" si="0">P11</f>
        <v> MVS 3.197 </v>
      </c>
      <c r="B11" s="15" t="str">
        <f t="shared" ref="B11:B40" si="1">IF(H11=INT(H11),"I","II")</f>
        <v>I</v>
      </c>
      <c r="C11" s="9">
        <f t="shared" ref="C11:C40" si="2">1*G11</f>
        <v>30735.398000000001</v>
      </c>
      <c r="D11" s="12" t="str">
        <f t="shared" ref="D11:D40" si="3">VLOOKUP(F11,I$1:J$5,2,FALSE)</f>
        <v>vis</v>
      </c>
      <c r="E11" s="49">
        <f>VLOOKUP(C11,Active!C$21:E$973,3,FALSE)</f>
        <v>0</v>
      </c>
      <c r="F11" s="15" t="s">
        <v>66</v>
      </c>
      <c r="G11" s="12" t="str">
        <f t="shared" ref="G11:G40" si="4">MID(I11,3,LEN(I11)-3)</f>
        <v>30735.398</v>
      </c>
      <c r="H11" s="9">
        <f t="shared" ref="H11:H40" si="5">1*K11</f>
        <v>-7001</v>
      </c>
      <c r="I11" s="50" t="s">
        <v>69</v>
      </c>
      <c r="J11" s="51" t="s">
        <v>70</v>
      </c>
      <c r="K11" s="50">
        <v>-7001</v>
      </c>
      <c r="L11" s="50" t="s">
        <v>71</v>
      </c>
      <c r="M11" s="51" t="s">
        <v>72</v>
      </c>
      <c r="N11" s="51"/>
      <c r="O11" s="52" t="s">
        <v>73</v>
      </c>
      <c r="P11" s="52" t="s">
        <v>74</v>
      </c>
    </row>
    <row r="12" spans="1:16" ht="12.75" customHeight="1" thickBot="1" x14ac:dyDescent="0.25">
      <c r="A12" s="9" t="str">
        <f t="shared" si="0"/>
        <v> BBS 39 </v>
      </c>
      <c r="B12" s="15" t="str">
        <f t="shared" si="1"/>
        <v>I</v>
      </c>
      <c r="C12" s="9">
        <f t="shared" si="2"/>
        <v>43762.576000000001</v>
      </c>
      <c r="D12" s="12" t="str">
        <f t="shared" si="3"/>
        <v>vis</v>
      </c>
      <c r="E12" s="49">
        <f>VLOOKUP(C12,Active!C$21:E$973,3,FALSE)</f>
        <v>4190.0022836117087</v>
      </c>
      <c r="F12" s="15" t="s">
        <v>66</v>
      </c>
      <c r="G12" s="12" t="str">
        <f t="shared" si="4"/>
        <v>43762.576</v>
      </c>
      <c r="H12" s="9">
        <f t="shared" si="5"/>
        <v>-2811</v>
      </c>
      <c r="I12" s="50" t="s">
        <v>105</v>
      </c>
      <c r="J12" s="51" t="s">
        <v>106</v>
      </c>
      <c r="K12" s="50">
        <v>-2811</v>
      </c>
      <c r="L12" s="50" t="s">
        <v>107</v>
      </c>
      <c r="M12" s="51" t="s">
        <v>108</v>
      </c>
      <c r="N12" s="51"/>
      <c r="O12" s="52" t="s">
        <v>109</v>
      </c>
      <c r="P12" s="52" t="s">
        <v>110</v>
      </c>
    </row>
    <row r="13" spans="1:16" ht="12.75" customHeight="1" thickBot="1" x14ac:dyDescent="0.25">
      <c r="A13" s="9" t="str">
        <f t="shared" si="0"/>
        <v> BBS 52 </v>
      </c>
      <c r="B13" s="15" t="str">
        <f t="shared" si="1"/>
        <v>I</v>
      </c>
      <c r="C13" s="9">
        <f t="shared" si="2"/>
        <v>44583.394999999997</v>
      </c>
      <c r="D13" s="12" t="str">
        <f t="shared" si="3"/>
        <v>vis</v>
      </c>
      <c r="E13" s="49">
        <f>VLOOKUP(C13,Active!C$21:E$973,3,FALSE)</f>
        <v>4454.0067736426172</v>
      </c>
      <c r="F13" s="15" t="s">
        <v>66</v>
      </c>
      <c r="G13" s="12" t="str">
        <f t="shared" si="4"/>
        <v>44583.395</v>
      </c>
      <c r="H13" s="9">
        <f t="shared" si="5"/>
        <v>-2547</v>
      </c>
      <c r="I13" s="50" t="s">
        <v>111</v>
      </c>
      <c r="J13" s="51" t="s">
        <v>112</v>
      </c>
      <c r="K13" s="50">
        <v>-2547</v>
      </c>
      <c r="L13" s="50" t="s">
        <v>113</v>
      </c>
      <c r="M13" s="51" t="s">
        <v>108</v>
      </c>
      <c r="N13" s="51"/>
      <c r="O13" s="52" t="s">
        <v>109</v>
      </c>
      <c r="P13" s="52" t="s">
        <v>114</v>
      </c>
    </row>
    <row r="14" spans="1:16" ht="12.75" customHeight="1" thickBot="1" x14ac:dyDescent="0.25">
      <c r="A14" s="9" t="str">
        <f t="shared" si="0"/>
        <v> BBS 56 </v>
      </c>
      <c r="B14" s="15" t="str">
        <f t="shared" si="1"/>
        <v>I</v>
      </c>
      <c r="C14" s="9">
        <f t="shared" si="2"/>
        <v>44844.555999999997</v>
      </c>
      <c r="D14" s="12" t="str">
        <f t="shared" si="3"/>
        <v>vis</v>
      </c>
      <c r="E14" s="49">
        <f>VLOOKUP(C14,Active!C$21:E$973,3,FALSE)</f>
        <v>4538.0054099083009</v>
      </c>
      <c r="F14" s="15" t="s">
        <v>66</v>
      </c>
      <c r="G14" s="12" t="str">
        <f t="shared" si="4"/>
        <v>44844.556</v>
      </c>
      <c r="H14" s="9">
        <f t="shared" si="5"/>
        <v>-2463</v>
      </c>
      <c r="I14" s="50" t="s">
        <v>115</v>
      </c>
      <c r="J14" s="51" t="s">
        <v>116</v>
      </c>
      <c r="K14" s="50">
        <v>-2463</v>
      </c>
      <c r="L14" s="50" t="s">
        <v>117</v>
      </c>
      <c r="M14" s="51" t="s">
        <v>108</v>
      </c>
      <c r="N14" s="51"/>
      <c r="O14" s="52" t="s">
        <v>109</v>
      </c>
      <c r="P14" s="52" t="s">
        <v>118</v>
      </c>
    </row>
    <row r="15" spans="1:16" ht="12.75" customHeight="1" thickBot="1" x14ac:dyDescent="0.25">
      <c r="A15" s="9" t="str">
        <f t="shared" si="0"/>
        <v> BBS 59 </v>
      </c>
      <c r="B15" s="15" t="str">
        <f t="shared" si="1"/>
        <v>I</v>
      </c>
      <c r="C15" s="9">
        <f t="shared" si="2"/>
        <v>45043.54</v>
      </c>
      <c r="D15" s="12" t="str">
        <f t="shared" si="3"/>
        <v>vis</v>
      </c>
      <c r="E15" s="49">
        <f>VLOOKUP(C15,Active!C$21:E$973,3,FALSE)</f>
        <v>4602.0057186783361</v>
      </c>
      <c r="F15" s="15" t="s">
        <v>66</v>
      </c>
      <c r="G15" s="12" t="str">
        <f t="shared" si="4"/>
        <v>45043.540</v>
      </c>
      <c r="H15" s="9">
        <f t="shared" si="5"/>
        <v>-2399</v>
      </c>
      <c r="I15" s="50" t="s">
        <v>119</v>
      </c>
      <c r="J15" s="51" t="s">
        <v>120</v>
      </c>
      <c r="K15" s="50">
        <v>-2399</v>
      </c>
      <c r="L15" s="50" t="s">
        <v>117</v>
      </c>
      <c r="M15" s="51" t="s">
        <v>108</v>
      </c>
      <c r="N15" s="51"/>
      <c r="O15" s="52" t="s">
        <v>109</v>
      </c>
      <c r="P15" s="52" t="s">
        <v>121</v>
      </c>
    </row>
    <row r="16" spans="1:16" ht="12.75" customHeight="1" thickBot="1" x14ac:dyDescent="0.25">
      <c r="A16" s="9" t="str">
        <f t="shared" si="0"/>
        <v> BBS 74 </v>
      </c>
      <c r="B16" s="15" t="str">
        <f t="shared" si="1"/>
        <v>I</v>
      </c>
      <c r="C16" s="9">
        <f t="shared" si="2"/>
        <v>46007.364000000001</v>
      </c>
      <c r="D16" s="12" t="str">
        <f t="shared" si="3"/>
        <v>vis</v>
      </c>
      <c r="E16" s="49">
        <f>VLOOKUP(C16,Active!C$21:E$973,3,FALSE)</f>
        <v>4912.0056865147908</v>
      </c>
      <c r="F16" s="15" t="s">
        <v>66</v>
      </c>
      <c r="G16" s="12" t="str">
        <f t="shared" si="4"/>
        <v>46007.364</v>
      </c>
      <c r="H16" s="9">
        <f t="shared" si="5"/>
        <v>-2089</v>
      </c>
      <c r="I16" s="50" t="s">
        <v>122</v>
      </c>
      <c r="J16" s="51" t="s">
        <v>123</v>
      </c>
      <c r="K16" s="50">
        <v>-2089</v>
      </c>
      <c r="L16" s="50" t="s">
        <v>124</v>
      </c>
      <c r="M16" s="51" t="s">
        <v>108</v>
      </c>
      <c r="N16" s="51"/>
      <c r="O16" s="52" t="s">
        <v>109</v>
      </c>
      <c r="P16" s="52" t="s">
        <v>125</v>
      </c>
    </row>
    <row r="17" spans="1:16" ht="12.75" customHeight="1" thickBot="1" x14ac:dyDescent="0.25">
      <c r="A17" s="9" t="str">
        <f t="shared" si="0"/>
        <v> BBS 79 </v>
      </c>
      <c r="B17" s="15" t="str">
        <f t="shared" si="1"/>
        <v>I</v>
      </c>
      <c r="C17" s="9">
        <f t="shared" si="2"/>
        <v>46405.326000000001</v>
      </c>
      <c r="D17" s="12" t="str">
        <f t="shared" si="3"/>
        <v>vis</v>
      </c>
      <c r="E17" s="49">
        <f>VLOOKUP(C17,Active!C$21:E$973,3,FALSE)</f>
        <v>5040.0043742421467</v>
      </c>
      <c r="F17" s="15" t="s">
        <v>66</v>
      </c>
      <c r="G17" s="12" t="str">
        <f t="shared" si="4"/>
        <v>46405.326</v>
      </c>
      <c r="H17" s="9">
        <f t="shared" si="5"/>
        <v>-1961</v>
      </c>
      <c r="I17" s="50" t="s">
        <v>130</v>
      </c>
      <c r="J17" s="51" t="s">
        <v>131</v>
      </c>
      <c r="K17" s="50">
        <v>-1961</v>
      </c>
      <c r="L17" s="50" t="s">
        <v>68</v>
      </c>
      <c r="M17" s="51" t="s">
        <v>108</v>
      </c>
      <c r="N17" s="51"/>
      <c r="O17" s="52" t="s">
        <v>109</v>
      </c>
      <c r="P17" s="52" t="s">
        <v>132</v>
      </c>
    </row>
    <row r="18" spans="1:16" ht="12.75" customHeight="1" thickBot="1" x14ac:dyDescent="0.25">
      <c r="A18" s="9" t="str">
        <f t="shared" si="0"/>
        <v> BBS 92 </v>
      </c>
      <c r="B18" s="15" t="str">
        <f t="shared" si="1"/>
        <v>I</v>
      </c>
      <c r="C18" s="9">
        <f t="shared" si="2"/>
        <v>47804.423999999999</v>
      </c>
      <c r="D18" s="12" t="str">
        <f t="shared" si="3"/>
        <v>vis</v>
      </c>
      <c r="E18" s="49">
        <f>VLOOKUP(C18,Active!C$21:E$973,3,FALSE)</f>
        <v>5490.0038917889678</v>
      </c>
      <c r="F18" s="15" t="s">
        <v>66</v>
      </c>
      <c r="G18" s="12" t="str">
        <f t="shared" si="4"/>
        <v>47804.424</v>
      </c>
      <c r="H18" s="9">
        <f t="shared" si="5"/>
        <v>-1511</v>
      </c>
      <c r="I18" s="50" t="s">
        <v>133</v>
      </c>
      <c r="J18" s="51" t="s">
        <v>134</v>
      </c>
      <c r="K18" s="50">
        <v>-1511</v>
      </c>
      <c r="L18" s="50" t="s">
        <v>135</v>
      </c>
      <c r="M18" s="51" t="s">
        <v>108</v>
      </c>
      <c r="N18" s="51"/>
      <c r="O18" s="52" t="s">
        <v>109</v>
      </c>
      <c r="P18" s="52" t="s">
        <v>136</v>
      </c>
    </row>
    <row r="19" spans="1:16" ht="12.75" customHeight="1" thickBot="1" x14ac:dyDescent="0.25">
      <c r="A19" s="9" t="str">
        <f t="shared" si="0"/>
        <v> BBS 94 </v>
      </c>
      <c r="B19" s="15" t="str">
        <f t="shared" si="1"/>
        <v>I</v>
      </c>
      <c r="C19" s="9">
        <f t="shared" si="2"/>
        <v>47894.589</v>
      </c>
      <c r="D19" s="12" t="str">
        <f t="shared" si="3"/>
        <v>vis</v>
      </c>
      <c r="E19" s="49">
        <f>VLOOKUP(C19,Active!C$21:E$973,3,FALSE)</f>
        <v>5519.0041523136842</v>
      </c>
      <c r="F19" s="15" t="s">
        <v>66</v>
      </c>
      <c r="G19" s="12" t="str">
        <f t="shared" si="4"/>
        <v>47894.589</v>
      </c>
      <c r="H19" s="9">
        <f t="shared" si="5"/>
        <v>-1482</v>
      </c>
      <c r="I19" s="50" t="s">
        <v>137</v>
      </c>
      <c r="J19" s="51" t="s">
        <v>138</v>
      </c>
      <c r="K19" s="50">
        <v>-1482</v>
      </c>
      <c r="L19" s="50" t="s">
        <v>139</v>
      </c>
      <c r="M19" s="51" t="s">
        <v>108</v>
      </c>
      <c r="N19" s="51"/>
      <c r="O19" s="52" t="s">
        <v>109</v>
      </c>
      <c r="P19" s="52" t="s">
        <v>140</v>
      </c>
    </row>
    <row r="20" spans="1:16" ht="12.75" customHeight="1" thickBot="1" x14ac:dyDescent="0.25">
      <c r="A20" s="9" t="str">
        <f t="shared" si="0"/>
        <v> BBS 105 </v>
      </c>
      <c r="B20" s="15" t="str">
        <f t="shared" si="1"/>
        <v>I</v>
      </c>
      <c r="C20" s="9">
        <f t="shared" si="2"/>
        <v>49340.337</v>
      </c>
      <c r="D20" s="12" t="str">
        <f t="shared" si="3"/>
        <v>vis</v>
      </c>
      <c r="E20" s="49">
        <f>VLOOKUP(C20,Active!C$21:E$973,3,FALSE)</f>
        <v>5984.0079636937899</v>
      </c>
      <c r="F20" s="15" t="s">
        <v>66</v>
      </c>
      <c r="G20" s="12" t="str">
        <f t="shared" si="4"/>
        <v>49340.337</v>
      </c>
      <c r="H20" s="9">
        <f t="shared" si="5"/>
        <v>-1017</v>
      </c>
      <c r="I20" s="50" t="s">
        <v>145</v>
      </c>
      <c r="J20" s="51" t="s">
        <v>146</v>
      </c>
      <c r="K20" s="50">
        <v>-1017</v>
      </c>
      <c r="L20" s="50" t="s">
        <v>86</v>
      </c>
      <c r="M20" s="51" t="s">
        <v>108</v>
      </c>
      <c r="N20" s="51"/>
      <c r="O20" s="52" t="s">
        <v>109</v>
      </c>
      <c r="P20" s="52" t="s">
        <v>147</v>
      </c>
    </row>
    <row r="21" spans="1:16" ht="12.75" customHeight="1" thickBot="1" x14ac:dyDescent="0.25">
      <c r="A21" s="9" t="str">
        <f t="shared" si="0"/>
        <v> BBS 114 </v>
      </c>
      <c r="B21" s="15" t="str">
        <f t="shared" si="1"/>
        <v>I</v>
      </c>
      <c r="C21" s="9">
        <f t="shared" si="2"/>
        <v>50425.411999999997</v>
      </c>
      <c r="D21" s="12" t="str">
        <f t="shared" si="3"/>
        <v>vis</v>
      </c>
      <c r="E21" s="49">
        <f>VLOOKUP(C21,Active!C$21:E$973,3,FALSE)</f>
        <v>6333.0065517141547</v>
      </c>
      <c r="F21" s="15" t="s">
        <v>66</v>
      </c>
      <c r="G21" s="12" t="str">
        <f t="shared" si="4"/>
        <v>50425.412</v>
      </c>
      <c r="H21" s="9">
        <f t="shared" si="5"/>
        <v>-668</v>
      </c>
      <c r="I21" s="50" t="s">
        <v>148</v>
      </c>
      <c r="J21" s="51" t="s">
        <v>149</v>
      </c>
      <c r="K21" s="50">
        <v>-668</v>
      </c>
      <c r="L21" s="50" t="s">
        <v>107</v>
      </c>
      <c r="M21" s="51" t="s">
        <v>108</v>
      </c>
      <c r="N21" s="51"/>
      <c r="O21" s="52" t="s">
        <v>109</v>
      </c>
      <c r="P21" s="52" t="s">
        <v>150</v>
      </c>
    </row>
    <row r="22" spans="1:16" ht="12.75" customHeight="1" thickBot="1" x14ac:dyDescent="0.25">
      <c r="A22" s="9" t="str">
        <f t="shared" si="0"/>
        <v> BBS 117 </v>
      </c>
      <c r="B22" s="15" t="str">
        <f t="shared" si="1"/>
        <v>I</v>
      </c>
      <c r="C22" s="9">
        <f t="shared" si="2"/>
        <v>50823.386700000003</v>
      </c>
      <c r="D22" s="12" t="str">
        <f t="shared" si="3"/>
        <v>vis</v>
      </c>
      <c r="E22" s="49">
        <f>VLOOKUP(C22,Active!C$21:E$973,3,FALSE)</f>
        <v>6461.0093242117528</v>
      </c>
      <c r="F22" s="15" t="s">
        <v>66</v>
      </c>
      <c r="G22" s="12" t="str">
        <f t="shared" si="4"/>
        <v>50823.3867</v>
      </c>
      <c r="H22" s="9">
        <f t="shared" si="5"/>
        <v>-540</v>
      </c>
      <c r="I22" s="50" t="s">
        <v>151</v>
      </c>
      <c r="J22" s="51" t="s">
        <v>152</v>
      </c>
      <c r="K22" s="50">
        <v>-540</v>
      </c>
      <c r="L22" s="50" t="s">
        <v>153</v>
      </c>
      <c r="M22" s="51" t="s">
        <v>154</v>
      </c>
      <c r="N22" s="51" t="s">
        <v>155</v>
      </c>
      <c r="O22" s="52" t="s">
        <v>156</v>
      </c>
      <c r="P22" s="52" t="s">
        <v>157</v>
      </c>
    </row>
    <row r="23" spans="1:16" ht="12.75" customHeight="1" thickBot="1" x14ac:dyDescent="0.25">
      <c r="A23" s="9" t="str">
        <f t="shared" si="0"/>
        <v> BBS 118 </v>
      </c>
      <c r="B23" s="15" t="str">
        <f t="shared" si="1"/>
        <v>I</v>
      </c>
      <c r="C23" s="9">
        <f t="shared" si="2"/>
        <v>51056.58</v>
      </c>
      <c r="D23" s="12" t="str">
        <f t="shared" si="3"/>
        <v>vis</v>
      </c>
      <c r="E23" s="49">
        <f>VLOOKUP(C23,Active!C$21:E$973,3,FALSE)</f>
        <v>6536.0125566480447</v>
      </c>
      <c r="F23" s="15" t="s">
        <v>66</v>
      </c>
      <c r="G23" s="12" t="str">
        <f t="shared" si="4"/>
        <v>51056.58</v>
      </c>
      <c r="H23" s="9">
        <f t="shared" si="5"/>
        <v>-465</v>
      </c>
      <c r="I23" s="50" t="s">
        <v>158</v>
      </c>
      <c r="J23" s="51" t="s">
        <v>159</v>
      </c>
      <c r="K23" s="50">
        <v>-465</v>
      </c>
      <c r="L23" s="50" t="s">
        <v>160</v>
      </c>
      <c r="M23" s="51" t="s">
        <v>108</v>
      </c>
      <c r="N23" s="51"/>
      <c r="O23" s="52" t="s">
        <v>109</v>
      </c>
      <c r="P23" s="52" t="s">
        <v>161</v>
      </c>
    </row>
    <row r="24" spans="1:16" ht="12.75" customHeight="1" thickBot="1" x14ac:dyDescent="0.25">
      <c r="A24" s="9" t="str">
        <f t="shared" si="0"/>
        <v>IBVS 5263 </v>
      </c>
      <c r="B24" s="15" t="str">
        <f t="shared" si="1"/>
        <v>I</v>
      </c>
      <c r="C24" s="9">
        <f t="shared" si="2"/>
        <v>51535.373599999999</v>
      </c>
      <c r="D24" s="12" t="str">
        <f t="shared" si="3"/>
        <v>vis</v>
      </c>
      <c r="E24" s="49">
        <f>VLOOKUP(C24,Active!C$21:E$973,3,FALSE)</f>
        <v>6690.0095525729221</v>
      </c>
      <c r="F24" s="15" t="s">
        <v>66</v>
      </c>
      <c r="G24" s="12" t="str">
        <f t="shared" si="4"/>
        <v>51535.3736</v>
      </c>
      <c r="H24" s="9">
        <f t="shared" si="5"/>
        <v>-311</v>
      </c>
      <c r="I24" s="50" t="s">
        <v>162</v>
      </c>
      <c r="J24" s="51" t="s">
        <v>163</v>
      </c>
      <c r="K24" s="50">
        <v>-311</v>
      </c>
      <c r="L24" s="50" t="s">
        <v>164</v>
      </c>
      <c r="M24" s="51" t="s">
        <v>154</v>
      </c>
      <c r="N24" s="51" t="s">
        <v>155</v>
      </c>
      <c r="O24" s="52" t="s">
        <v>165</v>
      </c>
      <c r="P24" s="53" t="s">
        <v>166</v>
      </c>
    </row>
    <row r="25" spans="1:16" ht="12.75" customHeight="1" thickBot="1" x14ac:dyDescent="0.25">
      <c r="A25" s="9" t="str">
        <f t="shared" si="0"/>
        <v>BAVM 209 </v>
      </c>
      <c r="B25" s="15" t="str">
        <f t="shared" si="1"/>
        <v>I</v>
      </c>
      <c r="C25" s="9">
        <f t="shared" si="2"/>
        <v>54843.464399999997</v>
      </c>
      <c r="D25" s="12" t="str">
        <f t="shared" si="3"/>
        <v>vis</v>
      </c>
      <c r="E25" s="49">
        <f>VLOOKUP(C25,Active!C$21:E$973,3,FALSE)</f>
        <v>7754.00883210951</v>
      </c>
      <c r="F25" s="15" t="s">
        <v>66</v>
      </c>
      <c r="G25" s="12" t="str">
        <f t="shared" si="4"/>
        <v>54843.4644</v>
      </c>
      <c r="H25" s="9">
        <f t="shared" si="5"/>
        <v>753</v>
      </c>
      <c r="I25" s="50" t="s">
        <v>167</v>
      </c>
      <c r="J25" s="51" t="s">
        <v>168</v>
      </c>
      <c r="K25" s="50">
        <v>753</v>
      </c>
      <c r="L25" s="50" t="s">
        <v>169</v>
      </c>
      <c r="M25" s="51" t="s">
        <v>170</v>
      </c>
      <c r="N25" s="51" t="s">
        <v>171</v>
      </c>
      <c r="O25" s="52" t="s">
        <v>172</v>
      </c>
      <c r="P25" s="53" t="s">
        <v>173</v>
      </c>
    </row>
    <row r="26" spans="1:16" ht="12.75" customHeight="1" thickBot="1" x14ac:dyDescent="0.25">
      <c r="A26" s="9" t="str">
        <f t="shared" si="0"/>
        <v>IBVS 5894 </v>
      </c>
      <c r="B26" s="15" t="str">
        <f t="shared" si="1"/>
        <v>I</v>
      </c>
      <c r="C26" s="9">
        <f t="shared" si="2"/>
        <v>54849.680899999999</v>
      </c>
      <c r="D26" s="12" t="str">
        <f t="shared" si="3"/>
        <v>vis</v>
      </c>
      <c r="E26" s="49">
        <f>VLOOKUP(C26,Active!C$21:E$973,3,FALSE)</f>
        <v>7756.0082788965328</v>
      </c>
      <c r="F26" s="15" t="s">
        <v>66</v>
      </c>
      <c r="G26" s="12" t="str">
        <f t="shared" si="4"/>
        <v>54849.6809</v>
      </c>
      <c r="H26" s="9">
        <f t="shared" si="5"/>
        <v>755</v>
      </c>
      <c r="I26" s="50" t="s">
        <v>174</v>
      </c>
      <c r="J26" s="51" t="s">
        <v>175</v>
      </c>
      <c r="K26" s="50" t="s">
        <v>176</v>
      </c>
      <c r="L26" s="50" t="s">
        <v>177</v>
      </c>
      <c r="M26" s="51" t="s">
        <v>170</v>
      </c>
      <c r="N26" s="51" t="s">
        <v>66</v>
      </c>
      <c r="O26" s="52" t="s">
        <v>156</v>
      </c>
      <c r="P26" s="53" t="s">
        <v>178</v>
      </c>
    </row>
    <row r="27" spans="1:16" ht="12.75" customHeight="1" thickBot="1" x14ac:dyDescent="0.25">
      <c r="A27" s="9" t="str">
        <f t="shared" si="0"/>
        <v>IBVS 5960 </v>
      </c>
      <c r="B27" s="15" t="str">
        <f t="shared" si="1"/>
        <v>I</v>
      </c>
      <c r="C27" s="9">
        <f t="shared" si="2"/>
        <v>55511.922299999998</v>
      </c>
      <c r="D27" s="12" t="str">
        <f t="shared" si="3"/>
        <v>vis</v>
      </c>
      <c r="E27" s="49">
        <f>VLOOKUP(C27,Active!C$21:E$973,3,FALSE)</f>
        <v>7969.0085908829215</v>
      </c>
      <c r="F27" s="15" t="s">
        <v>66</v>
      </c>
      <c r="G27" s="12" t="str">
        <f t="shared" si="4"/>
        <v>55511.9223</v>
      </c>
      <c r="H27" s="9">
        <f t="shared" si="5"/>
        <v>968</v>
      </c>
      <c r="I27" s="50" t="s">
        <v>179</v>
      </c>
      <c r="J27" s="51" t="s">
        <v>180</v>
      </c>
      <c r="K27" s="50" t="s">
        <v>181</v>
      </c>
      <c r="L27" s="50" t="s">
        <v>182</v>
      </c>
      <c r="M27" s="51" t="s">
        <v>170</v>
      </c>
      <c r="N27" s="51" t="s">
        <v>66</v>
      </c>
      <c r="O27" s="52" t="s">
        <v>156</v>
      </c>
      <c r="P27" s="53" t="s">
        <v>183</v>
      </c>
    </row>
    <row r="28" spans="1:16" ht="12.75" customHeight="1" thickBot="1" x14ac:dyDescent="0.25">
      <c r="A28" s="9" t="str">
        <f t="shared" si="0"/>
        <v>IBVS 6011 </v>
      </c>
      <c r="B28" s="15" t="str">
        <f t="shared" si="1"/>
        <v>I</v>
      </c>
      <c r="C28" s="9">
        <f t="shared" si="2"/>
        <v>55931.652900000001</v>
      </c>
      <c r="D28" s="12" t="str">
        <f t="shared" si="3"/>
        <v>vis</v>
      </c>
      <c r="E28" s="49">
        <f>VLOOKUP(C28,Active!C$21:E$973,3,FALSE)</f>
        <v>8104.0088321095109</v>
      </c>
      <c r="F28" s="15" t="s">
        <v>66</v>
      </c>
      <c r="G28" s="12" t="str">
        <f t="shared" si="4"/>
        <v>55931.6529</v>
      </c>
      <c r="H28" s="9">
        <f t="shared" si="5"/>
        <v>1103</v>
      </c>
      <c r="I28" s="50" t="s">
        <v>184</v>
      </c>
      <c r="J28" s="51" t="s">
        <v>185</v>
      </c>
      <c r="K28" s="50" t="s">
        <v>186</v>
      </c>
      <c r="L28" s="50" t="s">
        <v>182</v>
      </c>
      <c r="M28" s="51" t="s">
        <v>170</v>
      </c>
      <c r="N28" s="51" t="s">
        <v>66</v>
      </c>
      <c r="O28" s="52" t="s">
        <v>156</v>
      </c>
      <c r="P28" s="53" t="s">
        <v>187</v>
      </c>
    </row>
    <row r="29" spans="1:16" ht="12.75" customHeight="1" thickBot="1" x14ac:dyDescent="0.25">
      <c r="A29" s="9" t="str">
        <f t="shared" si="0"/>
        <v> MVS 3.197 </v>
      </c>
      <c r="B29" s="15" t="str">
        <f t="shared" si="1"/>
        <v>I</v>
      </c>
      <c r="C29" s="9">
        <f t="shared" si="2"/>
        <v>30791.406999999999</v>
      </c>
      <c r="D29" s="12" t="str">
        <f t="shared" si="3"/>
        <v>vis</v>
      </c>
      <c r="E29" s="49">
        <f>VLOOKUP(C29,Active!C$21:E$973,3,FALSE)</f>
        <v>18.014480028046034</v>
      </c>
      <c r="F29" s="15" t="s">
        <v>66</v>
      </c>
      <c r="G29" s="12" t="str">
        <f t="shared" si="4"/>
        <v>30791.407</v>
      </c>
      <c r="H29" s="9">
        <f t="shared" si="5"/>
        <v>-6983</v>
      </c>
      <c r="I29" s="50" t="s">
        <v>75</v>
      </c>
      <c r="J29" s="51" t="s">
        <v>76</v>
      </c>
      <c r="K29" s="50">
        <v>-6983</v>
      </c>
      <c r="L29" s="50" t="s">
        <v>77</v>
      </c>
      <c r="M29" s="51" t="s">
        <v>72</v>
      </c>
      <c r="N29" s="51"/>
      <c r="O29" s="52" t="s">
        <v>73</v>
      </c>
      <c r="P29" s="52" t="s">
        <v>74</v>
      </c>
    </row>
    <row r="30" spans="1:16" ht="12.75" customHeight="1" thickBot="1" x14ac:dyDescent="0.25">
      <c r="A30" s="9" t="str">
        <f t="shared" si="0"/>
        <v> MVS 3.197 </v>
      </c>
      <c r="B30" s="15" t="str">
        <f t="shared" si="1"/>
        <v>I</v>
      </c>
      <c r="C30" s="9">
        <f t="shared" si="2"/>
        <v>30819.353999999999</v>
      </c>
      <c r="D30" s="12" t="str">
        <f t="shared" si="3"/>
        <v>vis</v>
      </c>
      <c r="E30" s="49">
        <f>VLOOKUP(C30,Active!C$21:E$973,3,FALSE)</f>
        <v>27.003226003582476</v>
      </c>
      <c r="F30" s="15" t="s">
        <v>66</v>
      </c>
      <c r="G30" s="12" t="str">
        <f t="shared" si="4"/>
        <v>30819.354</v>
      </c>
      <c r="H30" s="9">
        <f t="shared" si="5"/>
        <v>-6974</v>
      </c>
      <c r="I30" s="50" t="s">
        <v>78</v>
      </c>
      <c r="J30" s="51" t="s">
        <v>79</v>
      </c>
      <c r="K30" s="50">
        <v>-6974</v>
      </c>
      <c r="L30" s="50" t="s">
        <v>80</v>
      </c>
      <c r="M30" s="51" t="s">
        <v>72</v>
      </c>
      <c r="N30" s="51"/>
      <c r="O30" s="52" t="s">
        <v>73</v>
      </c>
      <c r="P30" s="52" t="s">
        <v>74</v>
      </c>
    </row>
    <row r="31" spans="1:16" ht="12.75" customHeight="1" thickBot="1" x14ac:dyDescent="0.25">
      <c r="A31" s="9" t="str">
        <f t="shared" si="0"/>
        <v> MVS 3.197 </v>
      </c>
      <c r="B31" s="15" t="str">
        <f t="shared" si="1"/>
        <v>I</v>
      </c>
      <c r="C31" s="9">
        <f t="shared" si="2"/>
        <v>31021.437999999998</v>
      </c>
      <c r="D31" s="12" t="str">
        <f t="shared" si="3"/>
        <v>vis</v>
      </c>
      <c r="E31" s="49">
        <f>VLOOKUP(C31,Active!C$21:E$973,3,FALSE)</f>
        <v>92.00060467464877</v>
      </c>
      <c r="F31" s="15" t="s">
        <v>66</v>
      </c>
      <c r="G31" s="12" t="str">
        <f t="shared" si="4"/>
        <v>31021.438</v>
      </c>
      <c r="H31" s="9">
        <f t="shared" si="5"/>
        <v>-6909</v>
      </c>
      <c r="I31" s="50" t="s">
        <v>81</v>
      </c>
      <c r="J31" s="51" t="s">
        <v>82</v>
      </c>
      <c r="K31" s="50">
        <v>-6909</v>
      </c>
      <c r="L31" s="50" t="s">
        <v>83</v>
      </c>
      <c r="M31" s="51" t="s">
        <v>72</v>
      </c>
      <c r="N31" s="51"/>
      <c r="O31" s="52" t="s">
        <v>73</v>
      </c>
      <c r="P31" s="52" t="s">
        <v>74</v>
      </c>
    </row>
    <row r="32" spans="1:16" ht="12.75" customHeight="1" thickBot="1" x14ac:dyDescent="0.25">
      <c r="A32" s="9" t="str">
        <f t="shared" si="0"/>
        <v> MVS 3.197 </v>
      </c>
      <c r="B32" s="15" t="str">
        <f t="shared" si="1"/>
        <v>I</v>
      </c>
      <c r="C32" s="9">
        <f t="shared" si="2"/>
        <v>36440.614999999998</v>
      </c>
      <c r="D32" s="12" t="str">
        <f t="shared" si="3"/>
        <v>vis</v>
      </c>
      <c r="E32" s="49">
        <f>VLOOKUP(C32,Active!C$21:E$973,3,FALSE)</f>
        <v>1835.000048245317</v>
      </c>
      <c r="F32" s="15" t="s">
        <v>66</v>
      </c>
      <c r="G32" s="12" t="str">
        <f t="shared" si="4"/>
        <v>36440.615</v>
      </c>
      <c r="H32" s="9">
        <f t="shared" si="5"/>
        <v>-5166</v>
      </c>
      <c r="I32" s="50" t="s">
        <v>84</v>
      </c>
      <c r="J32" s="51" t="s">
        <v>85</v>
      </c>
      <c r="K32" s="50">
        <v>-5166</v>
      </c>
      <c r="L32" s="50" t="s">
        <v>86</v>
      </c>
      <c r="M32" s="51" t="s">
        <v>72</v>
      </c>
      <c r="N32" s="51"/>
      <c r="O32" s="52" t="s">
        <v>73</v>
      </c>
      <c r="P32" s="52" t="s">
        <v>74</v>
      </c>
    </row>
    <row r="33" spans="1:16" ht="12.75" customHeight="1" thickBot="1" x14ac:dyDescent="0.25">
      <c r="A33" s="9" t="str">
        <f t="shared" si="0"/>
        <v> MVS 3.197 </v>
      </c>
      <c r="B33" s="15" t="str">
        <f t="shared" si="1"/>
        <v>I</v>
      </c>
      <c r="C33" s="9">
        <f t="shared" si="2"/>
        <v>36605.373</v>
      </c>
      <c r="D33" s="12" t="str">
        <f t="shared" si="3"/>
        <v>vis</v>
      </c>
      <c r="E33" s="49">
        <f>VLOOKUP(C33,Active!C$21:E$973,3,FALSE)</f>
        <v>1887.9920620370456</v>
      </c>
      <c r="F33" s="15" t="s">
        <v>66</v>
      </c>
      <c r="G33" s="12" t="str">
        <f t="shared" si="4"/>
        <v>36605.373</v>
      </c>
      <c r="H33" s="9">
        <f t="shared" si="5"/>
        <v>-5113</v>
      </c>
      <c r="I33" s="50" t="s">
        <v>87</v>
      </c>
      <c r="J33" s="51" t="s">
        <v>88</v>
      </c>
      <c r="K33" s="50">
        <v>-5113</v>
      </c>
      <c r="L33" s="50" t="s">
        <v>89</v>
      </c>
      <c r="M33" s="51" t="s">
        <v>72</v>
      </c>
      <c r="N33" s="51"/>
      <c r="O33" s="52" t="s">
        <v>73</v>
      </c>
      <c r="P33" s="52" t="s">
        <v>74</v>
      </c>
    </row>
    <row r="34" spans="1:16" ht="12.75" customHeight="1" thickBot="1" x14ac:dyDescent="0.25">
      <c r="A34" s="9" t="str">
        <f t="shared" si="0"/>
        <v> MVS 3.197 </v>
      </c>
      <c r="B34" s="15" t="str">
        <f t="shared" si="1"/>
        <v>I</v>
      </c>
      <c r="C34" s="9">
        <f t="shared" si="2"/>
        <v>36608.463000000003</v>
      </c>
      <c r="D34" s="12" t="str">
        <f t="shared" si="3"/>
        <v>vis</v>
      </c>
      <c r="E34" s="49">
        <f>VLOOKUP(C34,Active!C$21:E$973,3,FALSE)</f>
        <v>1888.9859155835602</v>
      </c>
      <c r="F34" s="15" t="s">
        <v>66</v>
      </c>
      <c r="G34" s="12" t="str">
        <f t="shared" si="4"/>
        <v>36608.463</v>
      </c>
      <c r="H34" s="9">
        <f t="shared" si="5"/>
        <v>-5112</v>
      </c>
      <c r="I34" s="50" t="s">
        <v>90</v>
      </c>
      <c r="J34" s="51" t="s">
        <v>91</v>
      </c>
      <c r="K34" s="50">
        <v>-5112</v>
      </c>
      <c r="L34" s="50" t="s">
        <v>92</v>
      </c>
      <c r="M34" s="51" t="s">
        <v>72</v>
      </c>
      <c r="N34" s="51"/>
      <c r="O34" s="52" t="s">
        <v>73</v>
      </c>
      <c r="P34" s="52" t="s">
        <v>74</v>
      </c>
    </row>
    <row r="35" spans="1:16" ht="12.75" customHeight="1" thickBot="1" x14ac:dyDescent="0.25">
      <c r="A35" s="9" t="str">
        <f t="shared" si="0"/>
        <v> MVS 3.197 </v>
      </c>
      <c r="B35" s="15" t="str">
        <f t="shared" si="1"/>
        <v>I</v>
      </c>
      <c r="C35" s="9">
        <f t="shared" si="2"/>
        <v>38290.576000000001</v>
      </c>
      <c r="D35" s="12" t="str">
        <f t="shared" si="3"/>
        <v>vis</v>
      </c>
      <c r="E35" s="49">
        <f>VLOOKUP(C35,Active!C$21:E$973,3,FALSE)</f>
        <v>2430.0130905628944</v>
      </c>
      <c r="F35" s="15" t="s">
        <v>66</v>
      </c>
      <c r="G35" s="12" t="str">
        <f t="shared" si="4"/>
        <v>38290.576</v>
      </c>
      <c r="H35" s="9">
        <f t="shared" si="5"/>
        <v>-4571</v>
      </c>
      <c r="I35" s="50" t="s">
        <v>93</v>
      </c>
      <c r="J35" s="51" t="s">
        <v>94</v>
      </c>
      <c r="K35" s="50">
        <v>-4571</v>
      </c>
      <c r="L35" s="50" t="s">
        <v>95</v>
      </c>
      <c r="M35" s="51" t="s">
        <v>72</v>
      </c>
      <c r="N35" s="51"/>
      <c r="O35" s="52" t="s">
        <v>73</v>
      </c>
      <c r="P35" s="52" t="s">
        <v>74</v>
      </c>
    </row>
    <row r="36" spans="1:16" ht="12.75" customHeight="1" thickBot="1" x14ac:dyDescent="0.25">
      <c r="A36" s="9" t="str">
        <f t="shared" si="0"/>
        <v> MVS 3.197 </v>
      </c>
      <c r="B36" s="15" t="str">
        <f t="shared" si="1"/>
        <v>I</v>
      </c>
      <c r="C36" s="9">
        <f t="shared" si="2"/>
        <v>38318.582999999999</v>
      </c>
      <c r="D36" s="12" t="str">
        <f t="shared" si="3"/>
        <v>vis</v>
      </c>
      <c r="E36" s="49">
        <f>VLOOKUP(C36,Active!C$21:E$973,3,FALSE)</f>
        <v>2439.0211346655469</v>
      </c>
      <c r="F36" s="15" t="s">
        <v>66</v>
      </c>
      <c r="G36" s="12" t="str">
        <f t="shared" si="4"/>
        <v>38318.583</v>
      </c>
      <c r="H36" s="9">
        <f t="shared" si="5"/>
        <v>-4562</v>
      </c>
      <c r="I36" s="50" t="s">
        <v>96</v>
      </c>
      <c r="J36" s="51" t="s">
        <v>97</v>
      </c>
      <c r="K36" s="50">
        <v>-4562</v>
      </c>
      <c r="L36" s="50" t="s">
        <v>98</v>
      </c>
      <c r="M36" s="51" t="s">
        <v>72</v>
      </c>
      <c r="N36" s="51"/>
      <c r="O36" s="52" t="s">
        <v>73</v>
      </c>
      <c r="P36" s="52" t="s">
        <v>74</v>
      </c>
    </row>
    <row r="37" spans="1:16" ht="12.75" customHeight="1" thickBot="1" x14ac:dyDescent="0.25">
      <c r="A37" s="9" t="str">
        <f t="shared" si="0"/>
        <v> MVS 3.197 </v>
      </c>
      <c r="B37" s="15" t="str">
        <f t="shared" si="1"/>
        <v>I</v>
      </c>
      <c r="C37" s="9">
        <f t="shared" si="2"/>
        <v>38399.345000000001</v>
      </c>
      <c r="D37" s="12" t="str">
        <f t="shared" si="3"/>
        <v>vis</v>
      </c>
      <c r="E37" s="49">
        <f>VLOOKUP(C37,Active!C$21:E$973,3,FALSE)</f>
        <v>2464.9970570356149</v>
      </c>
      <c r="F37" s="15" t="s">
        <v>66</v>
      </c>
      <c r="G37" s="12" t="str">
        <f t="shared" si="4"/>
        <v>38399.345</v>
      </c>
      <c r="H37" s="9">
        <f t="shared" si="5"/>
        <v>-4536</v>
      </c>
      <c r="I37" s="50" t="s">
        <v>99</v>
      </c>
      <c r="J37" s="51" t="s">
        <v>100</v>
      </c>
      <c r="K37" s="50">
        <v>-4536</v>
      </c>
      <c r="L37" s="50" t="s">
        <v>101</v>
      </c>
      <c r="M37" s="51" t="s">
        <v>72</v>
      </c>
      <c r="N37" s="51"/>
      <c r="O37" s="52" t="s">
        <v>73</v>
      </c>
      <c r="P37" s="52" t="s">
        <v>74</v>
      </c>
    </row>
    <row r="38" spans="1:16" ht="12.75" customHeight="1" thickBot="1" x14ac:dyDescent="0.25">
      <c r="A38" s="9" t="str">
        <f t="shared" si="0"/>
        <v> MVS 3.197 </v>
      </c>
      <c r="B38" s="15" t="str">
        <f t="shared" si="1"/>
        <v>I</v>
      </c>
      <c r="C38" s="9">
        <f t="shared" si="2"/>
        <v>38853.317999999999</v>
      </c>
      <c r="D38" s="12" t="str">
        <f t="shared" si="3"/>
        <v>vis</v>
      </c>
      <c r="E38" s="49">
        <f>VLOOKUP(C38,Active!C$21:E$973,3,FALSE)</f>
        <v>2611.010868061921</v>
      </c>
      <c r="F38" s="15" t="s">
        <v>66</v>
      </c>
      <c r="G38" s="12" t="str">
        <f t="shared" si="4"/>
        <v>38853.318</v>
      </c>
      <c r="H38" s="9">
        <f t="shared" si="5"/>
        <v>-4390</v>
      </c>
      <c r="I38" s="50" t="s">
        <v>102</v>
      </c>
      <c r="J38" s="51" t="s">
        <v>103</v>
      </c>
      <c r="K38" s="50">
        <v>-4390</v>
      </c>
      <c r="L38" s="50" t="s">
        <v>104</v>
      </c>
      <c r="M38" s="51" t="s">
        <v>72</v>
      </c>
      <c r="N38" s="51"/>
      <c r="O38" s="52" t="s">
        <v>73</v>
      </c>
      <c r="P38" s="52" t="s">
        <v>74</v>
      </c>
    </row>
    <row r="39" spans="1:16" ht="12.75" customHeight="1" thickBot="1" x14ac:dyDescent="0.25">
      <c r="A39" s="9" t="str">
        <f t="shared" si="0"/>
        <v> BBS 78 </v>
      </c>
      <c r="B39" s="15" t="str">
        <f t="shared" si="1"/>
        <v>I</v>
      </c>
      <c r="C39" s="9">
        <f t="shared" si="2"/>
        <v>46327.586000000003</v>
      </c>
      <c r="D39" s="12" t="str">
        <f t="shared" si="3"/>
        <v>vis</v>
      </c>
      <c r="E39" s="49">
        <f>VLOOKUP(C39,Active!C$21:E$973,3,FALSE)</f>
        <v>5015.000434207861</v>
      </c>
      <c r="F39" s="15" t="s">
        <v>66</v>
      </c>
      <c r="G39" s="12" t="str">
        <f t="shared" si="4"/>
        <v>46327.586</v>
      </c>
      <c r="H39" s="9">
        <f t="shared" si="5"/>
        <v>-1986</v>
      </c>
      <c r="I39" s="50" t="s">
        <v>126</v>
      </c>
      <c r="J39" s="51" t="s">
        <v>127</v>
      </c>
      <c r="K39" s="50">
        <v>-1986</v>
      </c>
      <c r="L39" s="50" t="s">
        <v>128</v>
      </c>
      <c r="M39" s="51" t="s">
        <v>108</v>
      </c>
      <c r="N39" s="51"/>
      <c r="O39" s="52" t="s">
        <v>109</v>
      </c>
      <c r="P39" s="52" t="s">
        <v>129</v>
      </c>
    </row>
    <row r="40" spans="1:16" ht="12.75" customHeight="1" thickBot="1" x14ac:dyDescent="0.25">
      <c r="A40" s="9" t="str">
        <f t="shared" si="0"/>
        <v> BRNO 31 </v>
      </c>
      <c r="B40" s="15" t="str">
        <f t="shared" si="1"/>
        <v>I</v>
      </c>
      <c r="C40" s="9">
        <f t="shared" si="2"/>
        <v>48177.521999999997</v>
      </c>
      <c r="D40" s="12" t="str">
        <f t="shared" si="3"/>
        <v>vis</v>
      </c>
      <c r="E40" s="49">
        <f>VLOOKUP(C40,Active!C$21:E$973,3,FALSE)</f>
        <v>5610.0054356391374</v>
      </c>
      <c r="F40" s="15" t="s">
        <v>66</v>
      </c>
      <c r="G40" s="12" t="str">
        <f t="shared" si="4"/>
        <v>48177.522</v>
      </c>
      <c r="H40" s="9">
        <f t="shared" si="5"/>
        <v>-1391</v>
      </c>
      <c r="I40" s="50" t="s">
        <v>141</v>
      </c>
      <c r="J40" s="51" t="s">
        <v>142</v>
      </c>
      <c r="K40" s="50">
        <v>-1391</v>
      </c>
      <c r="L40" s="50" t="s">
        <v>68</v>
      </c>
      <c r="M40" s="51" t="s">
        <v>108</v>
      </c>
      <c r="N40" s="51"/>
      <c r="O40" s="52" t="s">
        <v>143</v>
      </c>
      <c r="P40" s="52" t="s">
        <v>144</v>
      </c>
    </row>
    <row r="41" spans="1:16" x14ac:dyDescent="0.2">
      <c r="B41" s="15"/>
      <c r="E41" s="49"/>
      <c r="F41" s="15"/>
    </row>
    <row r="42" spans="1:16" x14ac:dyDescent="0.2">
      <c r="B42" s="15"/>
      <c r="F42" s="15"/>
    </row>
    <row r="43" spans="1:16" x14ac:dyDescent="0.2">
      <c r="B43" s="15"/>
      <c r="F43" s="15"/>
    </row>
    <row r="44" spans="1:16" x14ac:dyDescent="0.2">
      <c r="B44" s="15"/>
      <c r="F44" s="15"/>
    </row>
    <row r="45" spans="1:16" x14ac:dyDescent="0.2">
      <c r="B45" s="15"/>
      <c r="F45" s="15"/>
    </row>
    <row r="46" spans="1:16" x14ac:dyDescent="0.2">
      <c r="B46" s="15"/>
      <c r="F46" s="15"/>
    </row>
    <row r="47" spans="1:16" x14ac:dyDescent="0.2">
      <c r="B47" s="15"/>
      <c r="F47" s="15"/>
    </row>
    <row r="48" spans="1:16" x14ac:dyDescent="0.2">
      <c r="B48" s="15"/>
      <c r="F48" s="15"/>
    </row>
    <row r="49" spans="2:6" x14ac:dyDescent="0.2">
      <c r="B49" s="15"/>
      <c r="F49" s="15"/>
    </row>
    <row r="50" spans="2:6" x14ac:dyDescent="0.2">
      <c r="B50" s="15"/>
      <c r="F50" s="15"/>
    </row>
    <row r="51" spans="2:6" x14ac:dyDescent="0.2">
      <c r="B51" s="15"/>
      <c r="F51" s="15"/>
    </row>
    <row r="52" spans="2:6" x14ac:dyDescent="0.2">
      <c r="B52" s="15"/>
      <c r="F52" s="15"/>
    </row>
    <row r="53" spans="2:6" x14ac:dyDescent="0.2">
      <c r="B53" s="15"/>
      <c r="F53" s="15"/>
    </row>
    <row r="54" spans="2:6" x14ac:dyDescent="0.2">
      <c r="B54" s="15"/>
      <c r="F54" s="15"/>
    </row>
    <row r="55" spans="2:6" x14ac:dyDescent="0.2">
      <c r="B55" s="15"/>
      <c r="F55" s="15"/>
    </row>
    <row r="56" spans="2:6" x14ac:dyDescent="0.2">
      <c r="B56" s="15"/>
      <c r="F56" s="15"/>
    </row>
    <row r="57" spans="2:6" x14ac:dyDescent="0.2">
      <c r="B57" s="15"/>
      <c r="F57" s="15"/>
    </row>
    <row r="58" spans="2:6" x14ac:dyDescent="0.2">
      <c r="B58" s="15"/>
      <c r="F58" s="15"/>
    </row>
    <row r="59" spans="2:6" x14ac:dyDescent="0.2">
      <c r="B59" s="15"/>
      <c r="F59" s="15"/>
    </row>
    <row r="60" spans="2:6" x14ac:dyDescent="0.2">
      <c r="B60" s="15"/>
      <c r="F60" s="15"/>
    </row>
    <row r="61" spans="2:6" x14ac:dyDescent="0.2">
      <c r="B61" s="15"/>
      <c r="F61" s="15"/>
    </row>
    <row r="62" spans="2:6" x14ac:dyDescent="0.2">
      <c r="B62" s="15"/>
      <c r="F62" s="15"/>
    </row>
    <row r="63" spans="2:6" x14ac:dyDescent="0.2">
      <c r="B63" s="15"/>
      <c r="F63" s="15"/>
    </row>
    <row r="64" spans="2:6" x14ac:dyDescent="0.2">
      <c r="B64" s="15"/>
      <c r="F64" s="15"/>
    </row>
    <row r="65" spans="2:6" x14ac:dyDescent="0.2">
      <c r="B65" s="15"/>
      <c r="F65" s="15"/>
    </row>
    <row r="66" spans="2:6" x14ac:dyDescent="0.2">
      <c r="B66" s="15"/>
      <c r="F66" s="15"/>
    </row>
    <row r="67" spans="2:6" x14ac:dyDescent="0.2">
      <c r="B67" s="15"/>
      <c r="F67" s="15"/>
    </row>
    <row r="68" spans="2:6" x14ac:dyDescent="0.2">
      <c r="B68" s="15"/>
      <c r="F68" s="15"/>
    </row>
    <row r="69" spans="2:6" x14ac:dyDescent="0.2">
      <c r="B69" s="15"/>
      <c r="F69" s="15"/>
    </row>
    <row r="70" spans="2:6" x14ac:dyDescent="0.2">
      <c r="B70" s="15"/>
      <c r="F70" s="15"/>
    </row>
    <row r="71" spans="2:6" x14ac:dyDescent="0.2">
      <c r="B71" s="15"/>
      <c r="F71" s="15"/>
    </row>
    <row r="72" spans="2:6" x14ac:dyDescent="0.2">
      <c r="B72" s="15"/>
      <c r="F72" s="15"/>
    </row>
    <row r="73" spans="2:6" x14ac:dyDescent="0.2">
      <c r="B73" s="15"/>
      <c r="F73" s="15"/>
    </row>
    <row r="74" spans="2:6" x14ac:dyDescent="0.2">
      <c r="B74" s="15"/>
      <c r="F74" s="15"/>
    </row>
    <row r="75" spans="2:6" x14ac:dyDescent="0.2">
      <c r="B75" s="15"/>
      <c r="F75" s="15"/>
    </row>
    <row r="76" spans="2:6" x14ac:dyDescent="0.2">
      <c r="B76" s="15"/>
      <c r="F76" s="15"/>
    </row>
    <row r="77" spans="2:6" x14ac:dyDescent="0.2">
      <c r="B77" s="15"/>
      <c r="F77" s="15"/>
    </row>
    <row r="78" spans="2:6" x14ac:dyDescent="0.2">
      <c r="B78" s="15"/>
      <c r="F78" s="15"/>
    </row>
    <row r="79" spans="2:6" x14ac:dyDescent="0.2">
      <c r="B79" s="15"/>
      <c r="F79" s="15"/>
    </row>
    <row r="80" spans="2:6" x14ac:dyDescent="0.2">
      <c r="B80" s="15"/>
      <c r="F80" s="15"/>
    </row>
    <row r="81" spans="2:6" x14ac:dyDescent="0.2">
      <c r="B81" s="15"/>
      <c r="F81" s="15"/>
    </row>
    <row r="82" spans="2:6" x14ac:dyDescent="0.2">
      <c r="B82" s="15"/>
      <c r="F82" s="15"/>
    </row>
    <row r="83" spans="2:6" x14ac:dyDescent="0.2">
      <c r="B83" s="15"/>
      <c r="F83" s="15"/>
    </row>
    <row r="84" spans="2:6" x14ac:dyDescent="0.2">
      <c r="B84" s="15"/>
      <c r="F84" s="15"/>
    </row>
    <row r="85" spans="2:6" x14ac:dyDescent="0.2">
      <c r="B85" s="15"/>
      <c r="F85" s="15"/>
    </row>
    <row r="86" spans="2:6" x14ac:dyDescent="0.2">
      <c r="B86" s="15"/>
      <c r="F86" s="15"/>
    </row>
    <row r="87" spans="2:6" x14ac:dyDescent="0.2">
      <c r="B87" s="15"/>
      <c r="F87" s="15"/>
    </row>
    <row r="88" spans="2:6" x14ac:dyDescent="0.2">
      <c r="B88" s="15"/>
      <c r="F88" s="15"/>
    </row>
    <row r="89" spans="2:6" x14ac:dyDescent="0.2">
      <c r="B89" s="15"/>
      <c r="F89" s="15"/>
    </row>
    <row r="90" spans="2:6" x14ac:dyDescent="0.2">
      <c r="B90" s="15"/>
      <c r="F90" s="15"/>
    </row>
    <row r="91" spans="2:6" x14ac:dyDescent="0.2">
      <c r="B91" s="15"/>
      <c r="F91" s="15"/>
    </row>
    <row r="92" spans="2:6" x14ac:dyDescent="0.2">
      <c r="B92" s="15"/>
      <c r="F92" s="15"/>
    </row>
    <row r="93" spans="2:6" x14ac:dyDescent="0.2">
      <c r="B93" s="15"/>
      <c r="F93" s="15"/>
    </row>
    <row r="94" spans="2:6" x14ac:dyDescent="0.2">
      <c r="B94" s="15"/>
      <c r="F94" s="15"/>
    </row>
    <row r="95" spans="2:6" x14ac:dyDescent="0.2">
      <c r="B95" s="15"/>
      <c r="F95" s="15"/>
    </row>
    <row r="96" spans="2: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  <row r="805" spans="2:6" x14ac:dyDescent="0.2">
      <c r="B805" s="15"/>
      <c r="F805" s="15"/>
    </row>
    <row r="806" spans="2:6" x14ac:dyDescent="0.2">
      <c r="B806" s="15"/>
      <c r="F806" s="15"/>
    </row>
    <row r="807" spans="2:6" x14ac:dyDescent="0.2">
      <c r="B807" s="15"/>
      <c r="F807" s="15"/>
    </row>
    <row r="808" spans="2:6" x14ac:dyDescent="0.2">
      <c r="B808" s="15"/>
      <c r="F808" s="15"/>
    </row>
    <row r="809" spans="2:6" x14ac:dyDescent="0.2">
      <c r="B809" s="15"/>
      <c r="F809" s="15"/>
    </row>
    <row r="810" spans="2:6" x14ac:dyDescent="0.2">
      <c r="B810" s="15"/>
      <c r="F810" s="15"/>
    </row>
    <row r="811" spans="2:6" x14ac:dyDescent="0.2">
      <c r="B811" s="15"/>
      <c r="F811" s="15"/>
    </row>
    <row r="812" spans="2:6" x14ac:dyDescent="0.2">
      <c r="B812" s="15"/>
      <c r="F812" s="15"/>
    </row>
    <row r="813" spans="2:6" x14ac:dyDescent="0.2">
      <c r="B813" s="15"/>
      <c r="F813" s="15"/>
    </row>
    <row r="814" spans="2:6" x14ac:dyDescent="0.2">
      <c r="B814" s="15"/>
      <c r="F814" s="15"/>
    </row>
    <row r="815" spans="2:6" x14ac:dyDescent="0.2">
      <c r="B815" s="15"/>
      <c r="F815" s="15"/>
    </row>
    <row r="816" spans="2:6" x14ac:dyDescent="0.2">
      <c r="B816" s="15"/>
      <c r="F816" s="15"/>
    </row>
    <row r="817" spans="2:6" x14ac:dyDescent="0.2">
      <c r="B817" s="15"/>
      <c r="F817" s="15"/>
    </row>
    <row r="818" spans="2:6" x14ac:dyDescent="0.2">
      <c r="B818" s="15"/>
      <c r="F818" s="15"/>
    </row>
    <row r="819" spans="2:6" x14ac:dyDescent="0.2">
      <c r="B819" s="15"/>
      <c r="F819" s="15"/>
    </row>
    <row r="820" spans="2:6" x14ac:dyDescent="0.2">
      <c r="B820" s="15"/>
      <c r="F820" s="15"/>
    </row>
    <row r="821" spans="2:6" x14ac:dyDescent="0.2">
      <c r="B821" s="15"/>
      <c r="F821" s="15"/>
    </row>
    <row r="822" spans="2:6" x14ac:dyDescent="0.2">
      <c r="B822" s="15"/>
      <c r="F822" s="15"/>
    </row>
    <row r="823" spans="2:6" x14ac:dyDescent="0.2">
      <c r="B823" s="15"/>
      <c r="F823" s="15"/>
    </row>
    <row r="824" spans="2:6" x14ac:dyDescent="0.2">
      <c r="B824" s="15"/>
      <c r="F824" s="15"/>
    </row>
    <row r="825" spans="2:6" x14ac:dyDescent="0.2">
      <c r="B825" s="15"/>
      <c r="F825" s="15"/>
    </row>
    <row r="826" spans="2:6" x14ac:dyDescent="0.2">
      <c r="B826" s="15"/>
      <c r="F826" s="15"/>
    </row>
    <row r="827" spans="2:6" x14ac:dyDescent="0.2">
      <c r="B827" s="15"/>
      <c r="F827" s="15"/>
    </row>
    <row r="828" spans="2:6" x14ac:dyDescent="0.2">
      <c r="B828" s="15"/>
      <c r="F828" s="15"/>
    </row>
    <row r="829" spans="2:6" x14ac:dyDescent="0.2">
      <c r="B829" s="15"/>
      <c r="F829" s="15"/>
    </row>
  </sheetData>
  <phoneticPr fontId="8" type="noConversion"/>
  <hyperlinks>
    <hyperlink ref="A3" r:id="rId1"/>
    <hyperlink ref="P24" r:id="rId2" display="http://www.konkoly.hu/cgi-bin/IBVS?5263"/>
    <hyperlink ref="P25" r:id="rId3" display="http://www.bav-astro.de/sfs/BAVM_link.php?BAVMnr=209"/>
    <hyperlink ref="P26" r:id="rId4" display="http://www.konkoly.hu/cgi-bin/IBVS?5894"/>
    <hyperlink ref="P27" r:id="rId5" display="http://www.konkoly.hu/cgi-bin/IBVS?5960"/>
    <hyperlink ref="P28" r:id="rId6" display="http://www.konkoly.hu/cgi-bin/IBVS?601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2024-01-15T05:38:01Z</dcterms:modified>
</cp:coreProperties>
</file>