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C548E77-001D-4663-A56C-4428B809DBB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8" i="1" l="1"/>
  <c r="Q29" i="1"/>
  <c r="C21" i="1"/>
  <c r="F16" i="1"/>
  <c r="F17" i="1" s="1"/>
  <c r="C7" i="1"/>
  <c r="E28" i="1"/>
  <c r="F28" i="1"/>
  <c r="C8" i="1"/>
  <c r="D9" i="1"/>
  <c r="C9" i="1"/>
  <c r="Q26" i="1"/>
  <c r="Q27" i="1"/>
  <c r="G14" i="2"/>
  <c r="C14" i="2"/>
  <c r="G16" i="2"/>
  <c r="C16" i="2"/>
  <c r="G13" i="2"/>
  <c r="C13" i="2"/>
  <c r="G15" i="2"/>
  <c r="C15" i="2"/>
  <c r="G12" i="2"/>
  <c r="C12" i="2"/>
  <c r="G11" i="2"/>
  <c r="C11" i="2"/>
  <c r="H14" i="2"/>
  <c r="D14" i="2"/>
  <c r="B14" i="2"/>
  <c r="A14" i="2"/>
  <c r="H16" i="2"/>
  <c r="D16" i="2"/>
  <c r="B16" i="2"/>
  <c r="A16" i="2"/>
  <c r="H13" i="2"/>
  <c r="D13" i="2"/>
  <c r="B13" i="2"/>
  <c r="A13" i="2"/>
  <c r="H15" i="2"/>
  <c r="D15" i="2"/>
  <c r="B15" i="2"/>
  <c r="A15" i="2"/>
  <c r="H12" i="2"/>
  <c r="D12" i="2"/>
  <c r="B12" i="2"/>
  <c r="A12" i="2"/>
  <c r="H11" i="2"/>
  <c r="D11" i="2"/>
  <c r="B11" i="2"/>
  <c r="A11" i="2"/>
  <c r="Q23" i="1"/>
  <c r="Q25" i="1"/>
  <c r="Q22" i="1"/>
  <c r="Q24" i="1"/>
  <c r="C17" i="1"/>
  <c r="Q21" i="1"/>
  <c r="E15" i="2"/>
  <c r="E14" i="2"/>
  <c r="E16" i="2"/>
  <c r="G25" i="1"/>
  <c r="J25" i="1"/>
  <c r="E23" i="1"/>
  <c r="F23" i="1"/>
  <c r="G23" i="1"/>
  <c r="J23" i="1"/>
  <c r="E27" i="1"/>
  <c r="F27" i="1"/>
  <c r="E21" i="1"/>
  <c r="F21" i="1"/>
  <c r="G21" i="1"/>
  <c r="G26" i="1"/>
  <c r="K26" i="1"/>
  <c r="E22" i="1"/>
  <c r="F22" i="1"/>
  <c r="G22" i="1"/>
  <c r="J22" i="1"/>
  <c r="E29" i="1"/>
  <c r="F29" i="1"/>
  <c r="G29" i="1"/>
  <c r="K29" i="1"/>
  <c r="E25" i="1"/>
  <c r="F25" i="1"/>
  <c r="E26" i="1"/>
  <c r="F26" i="1"/>
  <c r="E24" i="1"/>
  <c r="F24" i="1"/>
  <c r="G24" i="1"/>
  <c r="J24" i="1"/>
  <c r="G28" i="1"/>
  <c r="K28" i="1"/>
  <c r="G27" i="1"/>
  <c r="K27" i="1"/>
  <c r="E12" i="2"/>
  <c r="I21" i="1"/>
  <c r="E13" i="2"/>
  <c r="E11" i="2"/>
  <c r="C11" i="1"/>
  <c r="C12" i="1"/>
  <c r="C16" i="1" l="1"/>
  <c r="D18" i="1" s="1"/>
  <c r="O29" i="1"/>
  <c r="O22" i="1"/>
  <c r="O26" i="1"/>
  <c r="O24" i="1"/>
  <c r="O23" i="1"/>
  <c r="C15" i="1"/>
  <c r="F18" i="1" s="1"/>
  <c r="O28" i="1"/>
  <c r="O27" i="1"/>
  <c r="O25" i="1"/>
  <c r="O21" i="1"/>
  <c r="C18" i="1" l="1"/>
  <c r="F19" i="1"/>
</calcChain>
</file>

<file path=xl/sharedStrings.xml><?xml version="1.0" encoding="utf-8"?>
<sst xmlns="http://schemas.openxmlformats.org/spreadsheetml/2006/main" count="128" uniqueCount="93">
  <si>
    <t>IBVS 6196</t>
  </si>
  <si>
    <t>0.0029</t>
  </si>
  <si>
    <t>II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</si>
  <si>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</si>
  <si>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</si>
  <si>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</si>
  <si>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</si>
  <si>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</si>
  <si>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</si>
  <si>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</si>
  <si>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</si>
  <si>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</si>
  <si>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</si>
  <si>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</si>
  <si>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</si>
  <si>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</si>
  <si>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</si>
  <si>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</si>
  <si>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</si>
  <si>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</si>
  <si>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</si>
  <si>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</si>
  <si>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</si>
  <si>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</si>
  <si>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</si>
  <si>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</si>
  <si>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</si>
  <si>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</si>
  <si>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</si>
  <si>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</si>
  <si>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</si>
  <si>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</si>
  <si>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</si>
  <si>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</si>
  <si>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</si>
  <si>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</si>
  <si>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Cam</t>
  </si>
  <si>
    <t>EB</t>
  </si>
  <si>
    <t>IBVS 5699 Eph.</t>
  </si>
  <si>
    <t>IBVS 5699</t>
  </si>
  <si>
    <t>NS Cam / NSV 3771</t>
  </si>
  <si>
    <t>IBVS 5959</t>
  </si>
  <si>
    <t>I</t>
  </si>
  <si>
    <t>IBVS 6010</t>
  </si>
  <si>
    <t>IBVS 6118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</si>
  <si>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</si>
  <si>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</si>
  <si>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</si>
  <si>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</si>
  <si>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</si>
  <si>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</si>
  <si>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</si>
  <si>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</si>
  <si>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</si>
  <si>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</si>
  <si>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</si>
  <si>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</si>
  <si>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2455263.3587 </t>
  </si>
  <si>
    <t> 07.03.2010 20:36 </t>
  </si>
  <si>
    <t> -0.0487 </t>
  </si>
  <si>
    <t>C </t>
  </si>
  <si>
    <t>-I</t>
  </si>
  <si>
    <t> F.Agerer </t>
  </si>
  <si>
    <t>BAVM 214 </t>
  </si>
  <si>
    <t>2455591.3528 </t>
  </si>
  <si>
    <t> 29.01.2011 20:28 </t>
  </si>
  <si>
    <t>4538.5</t>
  </si>
  <si>
    <t> -0.0544 </t>
  </si>
  <si>
    <t>BAVM 215 </t>
  </si>
  <si>
    <t>2455614.4872 </t>
  </si>
  <si>
    <t> 21.02.2011 23:41 </t>
  </si>
  <si>
    <t>4564</t>
  </si>
  <si>
    <t> -0.0569 </t>
  </si>
  <si>
    <t>-U;-I</t>
  </si>
  <si>
    <t> M.&amp; K.Rätz </t>
  </si>
  <si>
    <t>BAVM 225 </t>
  </si>
  <si>
    <t>2455644.4303 </t>
  </si>
  <si>
    <t> 23.03.2011 22:19 </t>
  </si>
  <si>
    <t>4597</t>
  </si>
  <si>
    <t> -0.0557 </t>
  </si>
  <si>
    <t>BAVM 220 </t>
  </si>
  <si>
    <t>2455887.5897 </t>
  </si>
  <si>
    <t> 22.11.2011 02:09 </t>
  </si>
  <si>
    <t>4865</t>
  </si>
  <si>
    <t> -0.0608 </t>
  </si>
  <si>
    <t>2456654.2722 </t>
  </si>
  <si>
    <t> 27.12.2013 18:31 </t>
  </si>
  <si>
    <t>5710</t>
  </si>
  <si>
    <t> -0.0721 </t>
  </si>
  <si>
    <t>BAVM 234 </t>
  </si>
  <si>
    <t>Add cycle</t>
  </si>
  <si>
    <t>Old Cycle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</si>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</sst>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0" fillId="0" borderId="18" xfId="0" applyBorder="1">
      <alignment vertical="top"/>
    </xf>
    <xf numFmtId="0" fontId="0" fillId="0" borderId="19" xfId="0" applyBorder="1" applyAlignment="1"/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34" fillId="0" borderId="0" xfId="43" applyFont="1"/>
    <xf numFmtId="0" fontId="34" fillId="0" borderId="0" xfId="43" applyFont="1" applyAlignment="1">
      <alignment horizontal="center"/>
    </xf>
    <xf numFmtId="0" fontId="34" fillId="0" borderId="0" xfId="43" applyFont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 Cam - O-C Diagr.</a:t>
            </a:r>
          </a:p>
        </c:rich>
      </c:tx>
      <c:layout>
        <c:manualLayout>
          <c:xMode val="edge"/>
          <c:yMode val="edge"/>
          <c:x val="0.381954887218045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2406015037593983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7.6E-3</c:v>
                  </c:pt>
                  <c:pt idx="4">
                    <c:v>1.01E-2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7.6E-3</c:v>
                  </c:pt>
                  <c:pt idx="4">
                    <c:v>1.01E-2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4177</c:v>
                </c:pt>
                <c:pt idx="2">
                  <c:v>4538.5</c:v>
                </c:pt>
                <c:pt idx="3">
                  <c:v>4597</c:v>
                </c:pt>
                <c:pt idx="4">
                  <c:v>5710</c:v>
                </c:pt>
                <c:pt idx="5">
                  <c:v>4564</c:v>
                </c:pt>
                <c:pt idx="6">
                  <c:v>4865</c:v>
                </c:pt>
                <c:pt idx="7">
                  <c:v>6421</c:v>
                </c:pt>
                <c:pt idx="8">
                  <c:v>6481.5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D2-461B-80C7-9EE964AF2E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7.6E-3</c:v>
                  </c:pt>
                  <c:pt idx="4">
                    <c:v>1.01E-2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7.6E-3</c:v>
                  </c:pt>
                  <c:pt idx="4">
                    <c:v>1.01E-2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4177</c:v>
                </c:pt>
                <c:pt idx="2">
                  <c:v>4538.5</c:v>
                </c:pt>
                <c:pt idx="3">
                  <c:v>4597</c:v>
                </c:pt>
                <c:pt idx="4">
                  <c:v>5710</c:v>
                </c:pt>
                <c:pt idx="5">
                  <c:v>4564</c:v>
                </c:pt>
                <c:pt idx="6">
                  <c:v>4865</c:v>
                </c:pt>
                <c:pt idx="7">
                  <c:v>6421</c:v>
                </c:pt>
                <c:pt idx="8">
                  <c:v>6481.5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D2-461B-80C7-9EE964AF2E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7.6E-3</c:v>
                  </c:pt>
                  <c:pt idx="4">
                    <c:v>1.01E-2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7.6E-3</c:v>
                  </c:pt>
                  <c:pt idx="4">
                    <c:v>1.01E-2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4177</c:v>
                </c:pt>
                <c:pt idx="2">
                  <c:v>4538.5</c:v>
                </c:pt>
                <c:pt idx="3">
                  <c:v>4597</c:v>
                </c:pt>
                <c:pt idx="4">
                  <c:v>5710</c:v>
                </c:pt>
                <c:pt idx="5">
                  <c:v>4564</c:v>
                </c:pt>
                <c:pt idx="6">
                  <c:v>4865</c:v>
                </c:pt>
                <c:pt idx="7">
                  <c:v>6421</c:v>
                </c:pt>
                <c:pt idx="8">
                  <c:v>6481.5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-4.8710000002756715E-2</c:v>
                </c:pt>
                <c:pt idx="2">
                  <c:v>-5.4404999995313119E-2</c:v>
                </c:pt>
                <c:pt idx="3">
                  <c:v>-5.5710000000544824E-2</c:v>
                </c:pt>
                <c:pt idx="4">
                  <c:v>-7.2099999997590203E-2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D2-461B-80C7-9EE964AF2E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7.6E-3</c:v>
                  </c:pt>
                  <c:pt idx="4">
                    <c:v>1.01E-2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7.6E-3</c:v>
                  </c:pt>
                  <c:pt idx="4">
                    <c:v>1.01E-2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4177</c:v>
                </c:pt>
                <c:pt idx="2">
                  <c:v>4538.5</c:v>
                </c:pt>
                <c:pt idx="3">
                  <c:v>4597</c:v>
                </c:pt>
                <c:pt idx="4">
                  <c:v>5710</c:v>
                </c:pt>
                <c:pt idx="5">
                  <c:v>4564</c:v>
                </c:pt>
                <c:pt idx="6">
                  <c:v>4865</c:v>
                </c:pt>
                <c:pt idx="7">
                  <c:v>6421</c:v>
                </c:pt>
                <c:pt idx="8">
                  <c:v>6481.5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-5.6919999995443504E-2</c:v>
                </c:pt>
                <c:pt idx="6">
                  <c:v>-6.0750000004190952E-2</c:v>
                </c:pt>
                <c:pt idx="7">
                  <c:v>-7.9829999995126855E-2</c:v>
                </c:pt>
                <c:pt idx="8">
                  <c:v>-7.8744999998889398E-2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D2-461B-80C7-9EE964AF2E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7.6E-3</c:v>
                  </c:pt>
                  <c:pt idx="4">
                    <c:v>1.01E-2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7.6E-3</c:v>
                  </c:pt>
                  <c:pt idx="4">
                    <c:v>1.01E-2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4177</c:v>
                </c:pt>
                <c:pt idx="2">
                  <c:v>4538.5</c:v>
                </c:pt>
                <c:pt idx="3">
                  <c:v>4597</c:v>
                </c:pt>
                <c:pt idx="4">
                  <c:v>5710</c:v>
                </c:pt>
                <c:pt idx="5">
                  <c:v>4564</c:v>
                </c:pt>
                <c:pt idx="6">
                  <c:v>4865</c:v>
                </c:pt>
                <c:pt idx="7">
                  <c:v>6421</c:v>
                </c:pt>
                <c:pt idx="8">
                  <c:v>6481.5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D2-461B-80C7-9EE964AF2E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7.6E-3</c:v>
                  </c:pt>
                  <c:pt idx="4">
                    <c:v>1.01E-2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7.6E-3</c:v>
                  </c:pt>
                  <c:pt idx="4">
                    <c:v>1.01E-2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4177</c:v>
                </c:pt>
                <c:pt idx="2">
                  <c:v>4538.5</c:v>
                </c:pt>
                <c:pt idx="3">
                  <c:v>4597</c:v>
                </c:pt>
                <c:pt idx="4">
                  <c:v>5710</c:v>
                </c:pt>
                <c:pt idx="5">
                  <c:v>4564</c:v>
                </c:pt>
                <c:pt idx="6">
                  <c:v>4865</c:v>
                </c:pt>
                <c:pt idx="7">
                  <c:v>6421</c:v>
                </c:pt>
                <c:pt idx="8">
                  <c:v>6481.5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D2-461B-80C7-9EE964AF2E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7.6E-3</c:v>
                  </c:pt>
                  <c:pt idx="4">
                    <c:v>1.01E-2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7.6E-3</c:v>
                  </c:pt>
                  <c:pt idx="4">
                    <c:v>1.01E-2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4177</c:v>
                </c:pt>
                <c:pt idx="2">
                  <c:v>4538.5</c:v>
                </c:pt>
                <c:pt idx="3">
                  <c:v>4597</c:v>
                </c:pt>
                <c:pt idx="4">
                  <c:v>5710</c:v>
                </c:pt>
                <c:pt idx="5">
                  <c:v>4564</c:v>
                </c:pt>
                <c:pt idx="6">
                  <c:v>4865</c:v>
                </c:pt>
                <c:pt idx="7">
                  <c:v>6421</c:v>
                </c:pt>
                <c:pt idx="8">
                  <c:v>6481.5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D2-461B-80C7-9EE964AF2E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4177</c:v>
                </c:pt>
                <c:pt idx="2">
                  <c:v>4538.5</c:v>
                </c:pt>
                <c:pt idx="3">
                  <c:v>4597</c:v>
                </c:pt>
                <c:pt idx="4">
                  <c:v>5710</c:v>
                </c:pt>
                <c:pt idx="5">
                  <c:v>4564</c:v>
                </c:pt>
                <c:pt idx="6">
                  <c:v>4865</c:v>
                </c:pt>
                <c:pt idx="7">
                  <c:v>6421</c:v>
                </c:pt>
                <c:pt idx="8">
                  <c:v>6481.5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6.6449931298590698E-4</c:v>
                </c:pt>
                <c:pt idx="1">
                  <c:v>-5.1166753108320522E-2</c:v>
                </c:pt>
                <c:pt idx="2">
                  <c:v>-5.5652507896518336E-2</c:v>
                </c:pt>
                <c:pt idx="3">
                  <c:v>-5.6378418422409267E-2</c:v>
                </c:pt>
                <c:pt idx="4">
                  <c:v>-7.0189331504744462E-2</c:v>
                </c:pt>
                <c:pt idx="5">
                  <c:v>-5.5968930433445155E-2</c:v>
                </c:pt>
                <c:pt idx="6">
                  <c:v>-5.9703957241875424E-2</c:v>
                </c:pt>
                <c:pt idx="7">
                  <c:v>-7.9011936357880397E-2</c:v>
                </c:pt>
                <c:pt idx="8">
                  <c:v>-7.9762664337647948E-2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D2-461B-80C7-9EE964AF2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646856"/>
        <c:axId val="1"/>
      </c:scatterChart>
      <c:valAx>
        <c:axId val="676646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646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53064690443099"/>
          <c:w val="0.6285714285714285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605AA0A-FA59-E45B-5C8C-2E31CB64D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  <c r="D1" t="s">
        <v>36</v>
      </c>
    </row>
    <row r="2" spans="1:6" x14ac:dyDescent="0.2">
      <c r="A2" t="s">
        <v>25</v>
      </c>
      <c r="B2" s="12" t="s">
        <v>37</v>
      </c>
      <c r="C2" s="3"/>
      <c r="D2" s="3"/>
    </row>
    <row r="3" spans="1:6" ht="13.5" thickBot="1" x14ac:dyDescent="0.25"/>
    <row r="4" spans="1:6" ht="14.25" thickTop="1" thickBot="1" x14ac:dyDescent="0.25">
      <c r="A4" s="26" t="s">
        <v>38</v>
      </c>
      <c r="C4" s="8">
        <v>51473.49</v>
      </c>
      <c r="D4" s="9">
        <v>0.90732999999999997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3</v>
      </c>
    </row>
    <row r="7" spans="1:6" x14ac:dyDescent="0.2">
      <c r="A7" t="s">
        <v>4</v>
      </c>
      <c r="C7">
        <f>+C4</f>
        <v>51473.49</v>
      </c>
    </row>
    <row r="8" spans="1:6" x14ac:dyDescent="0.2">
      <c r="A8" t="s">
        <v>5</v>
      </c>
      <c r="C8">
        <f>+D4</f>
        <v>0.90732999999999997</v>
      </c>
    </row>
    <row r="9" spans="1:6" x14ac:dyDescent="0.2">
      <c r="A9" s="24" t="s">
        <v>35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17</v>
      </c>
      <c r="B11" s="12"/>
      <c r="C11" s="21">
        <f ca="1">INTERCEPT(INDIRECT($D$9):G992,INDIRECT($C$9):F992)</f>
        <v>6.6449931298590698E-4</v>
      </c>
      <c r="D11" s="3"/>
      <c r="E11" s="12"/>
    </row>
    <row r="12" spans="1:6" x14ac:dyDescent="0.2">
      <c r="A12" s="12" t="s">
        <v>18</v>
      </c>
      <c r="B12" s="12"/>
      <c r="C12" s="21">
        <f ca="1">SLOPE(INDIRECT($D$9):G992,INDIRECT($C$9):F992)</f>
        <v>-1.2408726938306542E-5</v>
      </c>
      <c r="D12" s="3"/>
      <c r="E12" s="12"/>
    </row>
    <row r="13" spans="1:6" x14ac:dyDescent="0.2">
      <c r="A13" s="12" t="s">
        <v>20</v>
      </c>
      <c r="B13" s="12"/>
      <c r="C13" s="3" t="s">
        <v>15</v>
      </c>
      <c r="D13" s="3"/>
      <c r="E13" s="12"/>
    </row>
    <row r="14" spans="1:6" x14ac:dyDescent="0.2">
      <c r="A14" s="12"/>
      <c r="B14" s="12"/>
      <c r="C14" s="12"/>
      <c r="D14" s="16"/>
      <c r="E14" s="13"/>
    </row>
    <row r="15" spans="1:6" x14ac:dyDescent="0.2">
      <c r="A15" s="14" t="s">
        <v>19</v>
      </c>
      <c r="B15" s="12"/>
      <c r="C15" s="15">
        <f ca="1">(C7+C11)+(C8+C12)*INT(MAX(F21:F3533))</f>
        <v>57353.815973540026</v>
      </c>
      <c r="D15" s="16"/>
      <c r="E15" s="16" t="s">
        <v>90</v>
      </c>
      <c r="F15" s="13">
        <v>1</v>
      </c>
    </row>
    <row r="16" spans="1:6" x14ac:dyDescent="0.2">
      <c r="A16" s="18" t="s">
        <v>6</v>
      </c>
      <c r="B16" s="12"/>
      <c r="C16" s="19">
        <f ca="1">+C8+C12</f>
        <v>0.90731759127306166</v>
      </c>
      <c r="D16" s="16"/>
      <c r="E16" s="16" t="s">
        <v>32</v>
      </c>
      <c r="F16" s="17">
        <f ca="1">NOW()+15018.5+$C$5/24</f>
        <v>60324.792249537037</v>
      </c>
    </row>
    <row r="17" spans="1:17" ht="13.5" thickBot="1" x14ac:dyDescent="0.25">
      <c r="A17" s="16" t="s">
        <v>29</v>
      </c>
      <c r="B17" s="12"/>
      <c r="C17" s="12">
        <f>COUNT(C21:C2191)</f>
        <v>9</v>
      </c>
      <c r="D17" s="16"/>
      <c r="E17" s="16" t="s">
        <v>91</v>
      </c>
      <c r="F17" s="17">
        <f ca="1">ROUND(2*(F16-$C$7)/$C$8,0)/2+F15</f>
        <v>9756.5</v>
      </c>
    </row>
    <row r="18" spans="1:17" ht="13.5" thickBot="1" x14ac:dyDescent="0.25">
      <c r="A18" s="18" t="s">
        <v>7</v>
      </c>
      <c r="B18" s="12"/>
      <c r="C18" s="49">
        <f ca="1">+C15</f>
        <v>57353.815973540026</v>
      </c>
      <c r="D18" s="50">
        <f ca="1">C16</f>
        <v>0.90731759127306166</v>
      </c>
      <c r="E18" s="16" t="s">
        <v>33</v>
      </c>
      <c r="F18" s="23">
        <f ca="1">ROUND(2*(F16-$C$15)/$C$16,0)/2+F15</f>
        <v>3275.5</v>
      </c>
    </row>
    <row r="19" spans="1:17" x14ac:dyDescent="0.2">
      <c r="E19" s="16" t="s">
        <v>34</v>
      </c>
      <c r="F19" s="20">
        <f ca="1">+$C$15+$C$16*F18-15018.5-$C$5/24</f>
        <v>45307.630577088275</v>
      </c>
    </row>
    <row r="20" spans="1:17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53</v>
      </c>
      <c r="I20" s="7" t="s">
        <v>56</v>
      </c>
      <c r="J20" s="7" t="s">
        <v>50</v>
      </c>
      <c r="K20" s="7" t="s">
        <v>48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</row>
    <row r="21" spans="1:17" x14ac:dyDescent="0.2">
      <c r="A21" s="27" t="s">
        <v>39</v>
      </c>
      <c r="C21" s="10">
        <f>+C4</f>
        <v>51473.49</v>
      </c>
      <c r="D21" s="10" t="s">
        <v>15</v>
      </c>
      <c r="E21">
        <f t="shared" ref="E21:E27" si="0">+(C21-C$7)/C$8</f>
        <v>0</v>
      </c>
      <c r="F21">
        <f t="shared" ref="F21:F29" si="1">ROUND(2*E21,0)/2</f>
        <v>0</v>
      </c>
      <c r="G21">
        <f t="shared" ref="G21:G27" si="2">+C21-(C$7+F21*C$8)</f>
        <v>0</v>
      </c>
      <c r="I21">
        <f>+G21</f>
        <v>0</v>
      </c>
      <c r="O21">
        <f t="shared" ref="O21:O27" ca="1" si="3">+C$11+C$12*$F21</f>
        <v>6.6449931298590698E-4</v>
      </c>
      <c r="Q21" s="2">
        <f t="shared" ref="Q21:Q27" si="4">+C21-15018.5</f>
        <v>36454.99</v>
      </c>
    </row>
    <row r="22" spans="1:17" x14ac:dyDescent="0.2">
      <c r="A22" s="28" t="s">
        <v>41</v>
      </c>
      <c r="B22" s="29" t="s">
        <v>42</v>
      </c>
      <c r="C22" s="28">
        <v>55263.358699999997</v>
      </c>
      <c r="D22" s="28">
        <v>5.5999999999999999E-3</v>
      </c>
      <c r="E22">
        <f t="shared" si="0"/>
        <v>4176.9463150121774</v>
      </c>
      <c r="F22">
        <f t="shared" si="1"/>
        <v>4177</v>
      </c>
      <c r="G22">
        <f t="shared" si="2"/>
        <v>-4.8710000002756715E-2</v>
      </c>
      <c r="J22">
        <f>+G22</f>
        <v>-4.8710000002756715E-2</v>
      </c>
      <c r="O22">
        <f t="shared" ca="1" si="3"/>
        <v>-5.1166753108320522E-2</v>
      </c>
      <c r="Q22" s="2">
        <f t="shared" si="4"/>
        <v>40244.858699999997</v>
      </c>
    </row>
    <row r="23" spans="1:17" x14ac:dyDescent="0.2">
      <c r="A23" s="35" t="s">
        <v>45</v>
      </c>
      <c r="B23" s="35"/>
      <c r="C23" s="30">
        <v>55591.352800000001</v>
      </c>
      <c r="D23" s="30">
        <v>6.3E-3</v>
      </c>
      <c r="E23">
        <f t="shared" si="0"/>
        <v>4538.4400383542952</v>
      </c>
      <c r="F23">
        <f t="shared" si="1"/>
        <v>4538.5</v>
      </c>
      <c r="G23">
        <f t="shared" si="2"/>
        <v>-5.4404999995313119E-2</v>
      </c>
      <c r="J23">
        <f>+G23</f>
        <v>-5.4404999995313119E-2</v>
      </c>
      <c r="O23">
        <f t="shared" ca="1" si="3"/>
        <v>-5.5652507896518336E-2</v>
      </c>
      <c r="Q23" s="2">
        <f t="shared" si="4"/>
        <v>40572.852800000001</v>
      </c>
    </row>
    <row r="24" spans="1:17" x14ac:dyDescent="0.2">
      <c r="A24" s="28" t="s">
        <v>43</v>
      </c>
      <c r="B24" s="29" t="s">
        <v>42</v>
      </c>
      <c r="C24" s="28">
        <v>55644.4303</v>
      </c>
      <c r="D24" s="28">
        <v>7.6E-3</v>
      </c>
      <c r="E24">
        <f t="shared" si="0"/>
        <v>4596.9386000683344</v>
      </c>
      <c r="F24">
        <f t="shared" si="1"/>
        <v>4597</v>
      </c>
      <c r="G24">
        <f t="shared" si="2"/>
        <v>-5.5710000000544824E-2</v>
      </c>
      <c r="J24">
        <f>+G24</f>
        <v>-5.5710000000544824E-2</v>
      </c>
      <c r="O24">
        <f t="shared" ca="1" si="3"/>
        <v>-5.6378418422409267E-2</v>
      </c>
      <c r="Q24" s="2">
        <f t="shared" si="4"/>
        <v>40625.9303</v>
      </c>
    </row>
    <row r="25" spans="1:17" x14ac:dyDescent="0.2">
      <c r="A25" s="31" t="s">
        <v>44</v>
      </c>
      <c r="B25" s="32" t="s">
        <v>42</v>
      </c>
      <c r="C25" s="33">
        <v>56654.272199999999</v>
      </c>
      <c r="D25" s="34">
        <v>1.01E-2</v>
      </c>
      <c r="E25">
        <f t="shared" si="0"/>
        <v>5709.9205360783853</v>
      </c>
      <c r="F25">
        <f t="shared" si="1"/>
        <v>5710</v>
      </c>
      <c r="G25">
        <f t="shared" si="2"/>
        <v>-7.2099999997590203E-2</v>
      </c>
      <c r="J25">
        <f>+G25</f>
        <v>-7.2099999997590203E-2</v>
      </c>
      <c r="O25">
        <f t="shared" ca="1" si="3"/>
        <v>-7.0189331504744462E-2</v>
      </c>
      <c r="Q25" s="2">
        <f t="shared" si="4"/>
        <v>41635.772199999999</v>
      </c>
    </row>
    <row r="26" spans="1:17" x14ac:dyDescent="0.2">
      <c r="A26" t="s">
        <v>75</v>
      </c>
      <c r="B26" t="s">
        <v>42</v>
      </c>
      <c r="C26" s="10">
        <v>55614.487200000003</v>
      </c>
      <c r="D26" s="10" t="s">
        <v>56</v>
      </c>
      <c r="E26">
        <f t="shared" si="0"/>
        <v>4563.937266485188</v>
      </c>
      <c r="F26">
        <f t="shared" si="1"/>
        <v>4564</v>
      </c>
      <c r="G26">
        <f t="shared" si="2"/>
        <v>-5.6919999995443504E-2</v>
      </c>
      <c r="K26">
        <f>+G26</f>
        <v>-5.6919999995443504E-2</v>
      </c>
      <c r="O26">
        <f t="shared" ca="1" si="3"/>
        <v>-5.5968930433445155E-2</v>
      </c>
      <c r="Q26" s="2">
        <f t="shared" si="4"/>
        <v>40595.987200000003</v>
      </c>
    </row>
    <row r="27" spans="1:17" x14ac:dyDescent="0.2">
      <c r="A27" t="s">
        <v>75</v>
      </c>
      <c r="B27" t="s">
        <v>42</v>
      </c>
      <c r="C27" s="10">
        <v>55887.589699999997</v>
      </c>
      <c r="D27" s="10" t="s">
        <v>56</v>
      </c>
      <c r="E27">
        <f t="shared" si="0"/>
        <v>4864.9330453087623</v>
      </c>
      <c r="F27">
        <f t="shared" si="1"/>
        <v>4865</v>
      </c>
      <c r="G27">
        <f t="shared" si="2"/>
        <v>-6.0750000004190952E-2</v>
      </c>
      <c r="K27">
        <f>+G27</f>
        <v>-6.0750000004190952E-2</v>
      </c>
      <c r="O27">
        <f t="shared" ca="1" si="3"/>
        <v>-5.9703957241875424E-2</v>
      </c>
      <c r="Q27" s="2">
        <f t="shared" si="4"/>
        <v>40869.089699999997</v>
      </c>
    </row>
    <row r="28" spans="1:17" x14ac:dyDescent="0.2">
      <c r="A28" s="51" t="s">
        <v>0</v>
      </c>
      <c r="B28" s="52" t="s">
        <v>42</v>
      </c>
      <c r="C28" s="53">
        <v>57299.376100000001</v>
      </c>
      <c r="D28" s="53" t="s">
        <v>1</v>
      </c>
      <c r="E28">
        <f>+(C28-C$7)/C$8</f>
        <v>6420.9120165761115</v>
      </c>
      <c r="F28">
        <f t="shared" si="1"/>
        <v>6421</v>
      </c>
      <c r="G28">
        <f>+C28-(C$7+F28*C$8)</f>
        <v>-7.9829999995126855E-2</v>
      </c>
      <c r="K28">
        <f>+G28</f>
        <v>-7.9829999995126855E-2</v>
      </c>
      <c r="O28">
        <f ca="1">+C$11+C$12*$F28</f>
        <v>-7.9011936357880397E-2</v>
      </c>
      <c r="Q28" s="2">
        <f>+C28-15018.5</f>
        <v>42280.876100000001</v>
      </c>
    </row>
    <row r="29" spans="1:17" x14ac:dyDescent="0.2">
      <c r="A29" s="54" t="s">
        <v>92</v>
      </c>
      <c r="B29" s="55" t="s">
        <v>2</v>
      </c>
      <c r="C29" s="56">
        <v>57354.270649999999</v>
      </c>
      <c r="D29" s="56">
        <v>1E-3</v>
      </c>
      <c r="E29">
        <f>+(C29-C$7)/C$8</f>
        <v>6481.4132123924046</v>
      </c>
      <c r="F29">
        <f t="shared" si="1"/>
        <v>6481.5</v>
      </c>
      <c r="G29">
        <f>+C29-(C$7+F29*C$8)</f>
        <v>-7.8744999998889398E-2</v>
      </c>
      <c r="K29">
        <f>+G29</f>
        <v>-7.8744999998889398E-2</v>
      </c>
      <c r="O29">
        <f ca="1">+C$11+C$12*$F29</f>
        <v>-7.9762664337647948E-2</v>
      </c>
      <c r="Q29" s="2">
        <f>+C29-15018.5</f>
        <v>42335.770649999999</v>
      </c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hyperlinks>
    <hyperlink ref="H2635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4"/>
  <sheetViews>
    <sheetView workbookViewId="0">
      <selection activeCell="A15" sqref="A15:D1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6" t="s">
        <v>46</v>
      </c>
      <c r="I1" s="37" t="s">
        <v>47</v>
      </c>
      <c r="J1" s="38" t="s">
        <v>48</v>
      </c>
    </row>
    <row r="2" spans="1:16" x14ac:dyDescent="0.2">
      <c r="I2" s="39" t="s">
        <v>49</v>
      </c>
      <c r="J2" s="40" t="s">
        <v>50</v>
      </c>
    </row>
    <row r="3" spans="1:16" x14ac:dyDescent="0.2">
      <c r="A3" s="41" t="s">
        <v>51</v>
      </c>
      <c r="I3" s="39" t="s">
        <v>52</v>
      </c>
      <c r="J3" s="40" t="s">
        <v>53</v>
      </c>
    </row>
    <row r="4" spans="1:16" x14ac:dyDescent="0.2">
      <c r="I4" s="39" t="s">
        <v>54</v>
      </c>
      <c r="J4" s="40" t="s">
        <v>53</v>
      </c>
    </row>
    <row r="5" spans="1:16" ht="13.5" thickBot="1" x14ac:dyDescent="0.25">
      <c r="I5" s="42" t="s">
        <v>55</v>
      </c>
      <c r="J5" s="43" t="s">
        <v>56</v>
      </c>
    </row>
    <row r="10" spans="1:16" ht="13.5" thickBot="1" x14ac:dyDescent="0.25"/>
    <row r="11" spans="1:16" ht="12.75" customHeight="1" thickBot="1" x14ac:dyDescent="0.25">
      <c r="A11" s="10" t="str">
        <f t="shared" ref="A11:A16" si="0">P11</f>
        <v>BAVM 214 </v>
      </c>
      <c r="B11" s="3" t="str">
        <f t="shared" ref="B11:B16" si="1">IF(H11=INT(H11),"I","II")</f>
        <v>I</v>
      </c>
      <c r="C11" s="10">
        <f t="shared" ref="C11:C16" si="2">1*G11</f>
        <v>55263.358699999997</v>
      </c>
      <c r="D11" s="12" t="str">
        <f t="shared" ref="D11:D16" si="3">VLOOKUP(F11,I$1:J$5,2,FALSE)</f>
        <v>vis</v>
      </c>
      <c r="E11" s="44">
        <f>VLOOKUP(C11,Active!C$21:E$973,3,FALSE)</f>
        <v>4176.9463150121774</v>
      </c>
      <c r="F11" s="3" t="s">
        <v>55</v>
      </c>
      <c r="G11" s="12" t="str">
        <f t="shared" ref="G11:G16" si="4">MID(I11,3,LEN(I11)-3)</f>
        <v>55263.3587</v>
      </c>
      <c r="H11" s="10">
        <f t="shared" ref="H11:H16" si="5">1*K11</f>
        <v>4177</v>
      </c>
      <c r="I11" s="45" t="s">
        <v>57</v>
      </c>
      <c r="J11" s="46" t="s">
        <v>58</v>
      </c>
      <c r="K11" s="45">
        <v>4177</v>
      </c>
      <c r="L11" s="45" t="s">
        <v>59</v>
      </c>
      <c r="M11" s="46" t="s">
        <v>60</v>
      </c>
      <c r="N11" s="46" t="s">
        <v>61</v>
      </c>
      <c r="O11" s="47" t="s">
        <v>62</v>
      </c>
      <c r="P11" s="48" t="s">
        <v>63</v>
      </c>
    </row>
    <row r="12" spans="1:16" ht="12.75" customHeight="1" thickBot="1" x14ac:dyDescent="0.25">
      <c r="A12" s="10" t="str">
        <f t="shared" si="0"/>
        <v>BAVM 215 </v>
      </c>
      <c r="B12" s="3" t="str">
        <f t="shared" si="1"/>
        <v>II</v>
      </c>
      <c r="C12" s="10">
        <f t="shared" si="2"/>
        <v>55591.352800000001</v>
      </c>
      <c r="D12" s="12" t="str">
        <f t="shared" si="3"/>
        <v>vis</v>
      </c>
      <c r="E12" s="44">
        <f>VLOOKUP(C12,Active!C$21:E$973,3,FALSE)</f>
        <v>4538.4400383542952</v>
      </c>
      <c r="F12" s="3" t="s">
        <v>55</v>
      </c>
      <c r="G12" s="12" t="str">
        <f t="shared" si="4"/>
        <v>55591.3528</v>
      </c>
      <c r="H12" s="10">
        <f t="shared" si="5"/>
        <v>4538.5</v>
      </c>
      <c r="I12" s="45" t="s">
        <v>64</v>
      </c>
      <c r="J12" s="46" t="s">
        <v>65</v>
      </c>
      <c r="K12" s="45" t="s">
        <v>66</v>
      </c>
      <c r="L12" s="45" t="s">
        <v>67</v>
      </c>
      <c r="M12" s="46" t="s">
        <v>60</v>
      </c>
      <c r="N12" s="46" t="s">
        <v>61</v>
      </c>
      <c r="O12" s="47" t="s">
        <v>62</v>
      </c>
      <c r="P12" s="48" t="s">
        <v>68</v>
      </c>
    </row>
    <row r="13" spans="1:16" ht="12.75" customHeight="1" thickBot="1" x14ac:dyDescent="0.25">
      <c r="A13" s="10" t="str">
        <f t="shared" si="0"/>
        <v>BAVM 220 </v>
      </c>
      <c r="B13" s="3" t="str">
        <f t="shared" si="1"/>
        <v>I</v>
      </c>
      <c r="C13" s="10">
        <f t="shared" si="2"/>
        <v>55644.4303</v>
      </c>
      <c r="D13" s="12" t="str">
        <f t="shared" si="3"/>
        <v>vis</v>
      </c>
      <c r="E13" s="44">
        <f>VLOOKUP(C13,Active!C$21:E$973,3,FALSE)</f>
        <v>4596.9386000683344</v>
      </c>
      <c r="F13" s="3" t="s">
        <v>55</v>
      </c>
      <c r="G13" s="12" t="str">
        <f t="shared" si="4"/>
        <v>55644.4303</v>
      </c>
      <c r="H13" s="10">
        <f t="shared" si="5"/>
        <v>4597</v>
      </c>
      <c r="I13" s="45" t="s">
        <v>76</v>
      </c>
      <c r="J13" s="46" t="s">
        <v>77</v>
      </c>
      <c r="K13" s="45" t="s">
        <v>78</v>
      </c>
      <c r="L13" s="45" t="s">
        <v>79</v>
      </c>
      <c r="M13" s="46" t="s">
        <v>60</v>
      </c>
      <c r="N13" s="46" t="s">
        <v>61</v>
      </c>
      <c r="O13" s="47" t="s">
        <v>62</v>
      </c>
      <c r="P13" s="48" t="s">
        <v>80</v>
      </c>
    </row>
    <row r="14" spans="1:16" ht="12.75" customHeight="1" thickBot="1" x14ac:dyDescent="0.25">
      <c r="A14" s="10" t="str">
        <f t="shared" si="0"/>
        <v>BAVM 234 </v>
      </c>
      <c r="B14" s="3" t="str">
        <f t="shared" si="1"/>
        <v>I</v>
      </c>
      <c r="C14" s="10">
        <f t="shared" si="2"/>
        <v>56654.272199999999</v>
      </c>
      <c r="D14" s="12" t="str">
        <f t="shared" si="3"/>
        <v>vis</v>
      </c>
      <c r="E14" s="44">
        <f>VLOOKUP(C14,Active!C$21:E$973,3,FALSE)</f>
        <v>5709.9205360783853</v>
      </c>
      <c r="F14" s="3" t="s">
        <v>55</v>
      </c>
      <c r="G14" s="12" t="str">
        <f t="shared" si="4"/>
        <v>56654.2722</v>
      </c>
      <c r="H14" s="10">
        <f t="shared" si="5"/>
        <v>5710</v>
      </c>
      <c r="I14" s="45" t="s">
        <v>85</v>
      </c>
      <c r="J14" s="46" t="s">
        <v>86</v>
      </c>
      <c r="K14" s="45" t="s">
        <v>87</v>
      </c>
      <c r="L14" s="45" t="s">
        <v>88</v>
      </c>
      <c r="M14" s="46" t="s">
        <v>60</v>
      </c>
      <c r="N14" s="46" t="s">
        <v>61</v>
      </c>
      <c r="O14" s="47" t="s">
        <v>62</v>
      </c>
      <c r="P14" s="48" t="s">
        <v>89</v>
      </c>
    </row>
    <row r="15" spans="1:16" ht="12.75" customHeight="1" thickBot="1" x14ac:dyDescent="0.25">
      <c r="A15" s="10" t="str">
        <f t="shared" si="0"/>
        <v>BAVM 225 </v>
      </c>
      <c r="B15" s="3" t="str">
        <f t="shared" si="1"/>
        <v>I</v>
      </c>
      <c r="C15" s="10">
        <f t="shared" si="2"/>
        <v>55614.487200000003</v>
      </c>
      <c r="D15" s="12" t="str">
        <f t="shared" si="3"/>
        <v>vis</v>
      </c>
      <c r="E15" s="44">
        <f>VLOOKUP(C15,Active!C$21:E$973,3,FALSE)</f>
        <v>4563.937266485188</v>
      </c>
      <c r="F15" s="3" t="s">
        <v>55</v>
      </c>
      <c r="G15" s="12" t="str">
        <f t="shared" si="4"/>
        <v>55614.4872</v>
      </c>
      <c r="H15" s="10">
        <f t="shared" si="5"/>
        <v>4564</v>
      </c>
      <c r="I15" s="45" t="s">
        <v>69</v>
      </c>
      <c r="J15" s="46" t="s">
        <v>70</v>
      </c>
      <c r="K15" s="45" t="s">
        <v>71</v>
      </c>
      <c r="L15" s="45" t="s">
        <v>72</v>
      </c>
      <c r="M15" s="46" t="s">
        <v>60</v>
      </c>
      <c r="N15" s="46" t="s">
        <v>73</v>
      </c>
      <c r="O15" s="47" t="s">
        <v>74</v>
      </c>
      <c r="P15" s="48" t="s">
        <v>75</v>
      </c>
    </row>
    <row r="16" spans="1:16" ht="12.75" customHeight="1" thickBot="1" x14ac:dyDescent="0.25">
      <c r="A16" s="10" t="str">
        <f t="shared" si="0"/>
        <v>BAVM 225 </v>
      </c>
      <c r="B16" s="3" t="str">
        <f t="shared" si="1"/>
        <v>I</v>
      </c>
      <c r="C16" s="10">
        <f t="shared" si="2"/>
        <v>55887.589699999997</v>
      </c>
      <c r="D16" s="12" t="str">
        <f t="shared" si="3"/>
        <v>vis</v>
      </c>
      <c r="E16" s="44">
        <f>VLOOKUP(C16,Active!C$21:E$973,3,FALSE)</f>
        <v>4864.9330453087623</v>
      </c>
      <c r="F16" s="3" t="s">
        <v>55</v>
      </c>
      <c r="G16" s="12" t="str">
        <f t="shared" si="4"/>
        <v>55887.5897</v>
      </c>
      <c r="H16" s="10">
        <f t="shared" si="5"/>
        <v>4865</v>
      </c>
      <c r="I16" s="45" t="s">
        <v>81</v>
      </c>
      <c r="J16" s="46" t="s">
        <v>82</v>
      </c>
      <c r="K16" s="45" t="s">
        <v>83</v>
      </c>
      <c r="L16" s="45" t="s">
        <v>84</v>
      </c>
      <c r="M16" s="46" t="s">
        <v>60</v>
      </c>
      <c r="N16" s="46" t="s">
        <v>61</v>
      </c>
      <c r="O16" s="47" t="s">
        <v>62</v>
      </c>
      <c r="P16" s="48" t="s">
        <v>75</v>
      </c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</sheetData>
  <phoneticPr fontId="8" type="noConversion"/>
  <hyperlinks>
    <hyperlink ref="A3" r:id="rId1"/>
    <hyperlink ref="P11" r:id="rId2" display="http://www.bav-astro.de/sfs/BAVM_link.php?BAVMnr=214"/>
    <hyperlink ref="P12" r:id="rId3" display="http://www.bav-astro.de/sfs/BAVM_link.php?BAVMnr=215"/>
    <hyperlink ref="P15" r:id="rId4" display="http://www.bav-astro.de/sfs/BAVM_link.php?BAVMnr=225"/>
    <hyperlink ref="P13" r:id="rId5" display="http://www.bav-astro.de/sfs/BAVM_link.php?BAVMnr=220"/>
    <hyperlink ref="P16" r:id="rId6" display="http://www.bav-astro.de/sfs/BAVM_link.php?BAVMnr=225"/>
    <hyperlink ref="P14" r:id="rId7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2024-01-15T06:00:50Z</dcterms:modified>
</cp:coreProperties>
</file>