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EF2482B-536B-443F-9838-8E360DF427B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5" i="1"/>
  <c r="Q36" i="1"/>
  <c r="G25" i="2"/>
  <c r="C25" i="2"/>
  <c r="G24" i="2"/>
  <c r="C24" i="2"/>
  <c r="G11" i="2"/>
  <c r="C11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E12" i="2"/>
  <c r="H25" i="2"/>
  <c r="D25" i="2"/>
  <c r="B25" i="2"/>
  <c r="A25" i="2"/>
  <c r="H24" i="2"/>
  <c r="B24" i="2"/>
  <c r="D24" i="2"/>
  <c r="A24" i="2"/>
  <c r="H11" i="2"/>
  <c r="D11" i="2"/>
  <c r="B11" i="2"/>
  <c r="A11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C7" i="1"/>
  <c r="E21" i="1"/>
  <c r="F21" i="1"/>
  <c r="C8" i="1"/>
  <c r="F16" i="1"/>
  <c r="F17" i="1" s="1"/>
  <c r="C17" i="1"/>
  <c r="Q34" i="1"/>
  <c r="Q33" i="1"/>
  <c r="E22" i="2"/>
  <c r="E24" i="2"/>
  <c r="E20" i="2"/>
  <c r="E15" i="2"/>
  <c r="E33" i="1"/>
  <c r="F33" i="1"/>
  <c r="E35" i="1"/>
  <c r="F35" i="1"/>
  <c r="E25" i="1"/>
  <c r="G35" i="1"/>
  <c r="I35" i="1"/>
  <c r="E30" i="1"/>
  <c r="G24" i="1"/>
  <c r="I24" i="1"/>
  <c r="E22" i="1"/>
  <c r="E31" i="1"/>
  <c r="F31" i="1"/>
  <c r="E32" i="1"/>
  <c r="F32" i="1"/>
  <c r="G32" i="1"/>
  <c r="I32" i="1"/>
  <c r="E24" i="1"/>
  <c r="F24" i="1"/>
  <c r="G21" i="1"/>
  <c r="E23" i="1"/>
  <c r="F23" i="1"/>
  <c r="G23" i="1"/>
  <c r="I23" i="1"/>
  <c r="E28" i="1"/>
  <c r="F28" i="1"/>
  <c r="G28" i="1"/>
  <c r="I28" i="1"/>
  <c r="G29" i="1"/>
  <c r="I29" i="1"/>
  <c r="G31" i="1"/>
  <c r="I31" i="1"/>
  <c r="E29" i="1"/>
  <c r="F29" i="1"/>
  <c r="G33" i="1"/>
  <c r="I33" i="1"/>
  <c r="E27" i="1"/>
  <c r="F27" i="1"/>
  <c r="G27" i="1"/>
  <c r="I27" i="1"/>
  <c r="E34" i="1"/>
  <c r="E36" i="1"/>
  <c r="F36" i="1"/>
  <c r="G36" i="1"/>
  <c r="I36" i="1"/>
  <c r="E26" i="1"/>
  <c r="F26" i="1"/>
  <c r="G26" i="1"/>
  <c r="I26" i="1"/>
  <c r="E19" i="2"/>
  <c r="F25" i="1"/>
  <c r="G25" i="1"/>
  <c r="I25" i="1"/>
  <c r="E16" i="2"/>
  <c r="E17" i="2"/>
  <c r="E13" i="2"/>
  <c r="F22" i="1"/>
  <c r="G22" i="1"/>
  <c r="E14" i="2"/>
  <c r="I21" i="1"/>
  <c r="E21" i="2"/>
  <c r="F30" i="1"/>
  <c r="G30" i="1"/>
  <c r="I30" i="1"/>
  <c r="E23" i="2"/>
  <c r="F34" i="1"/>
  <c r="G34" i="1"/>
  <c r="K34" i="1"/>
  <c r="E11" i="2"/>
  <c r="E25" i="2"/>
  <c r="E18" i="2"/>
  <c r="I22" i="1"/>
  <c r="C11" i="1"/>
  <c r="C12" i="1"/>
  <c r="C16" i="1" l="1"/>
  <c r="D18" i="1" s="1"/>
  <c r="O36" i="1"/>
  <c r="O31" i="1"/>
  <c r="O34" i="1"/>
  <c r="O29" i="1"/>
  <c r="O23" i="1"/>
  <c r="O33" i="1"/>
  <c r="O24" i="1"/>
  <c r="O30" i="1"/>
  <c r="O32" i="1"/>
  <c r="O21" i="1"/>
  <c r="O22" i="1"/>
  <c r="C15" i="1"/>
  <c r="O27" i="1"/>
  <c r="O28" i="1"/>
  <c r="O25" i="1"/>
  <c r="O26" i="1"/>
  <c r="O35" i="1"/>
  <c r="F18" i="1" l="1"/>
  <c r="F19" i="1" s="1"/>
  <c r="C18" i="1"/>
</calcChain>
</file>

<file path=xl/sharedStrings.xml><?xml version="1.0" encoding="utf-8"?>
<sst xmlns="http://schemas.openxmlformats.org/spreadsheetml/2006/main" count="209" uniqueCount="111">
  <si>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</si>
  <si>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</si>
  <si>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</si>
  <si>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</si>
  <si>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</si>
  <si>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</si>
  <si>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</si>
  <si>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</si>
  <si>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</si>
  <si>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</si>
  <si>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</si>
  <si>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</si>
  <si>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</si>
  <si>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</si>
  <si>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</si>
  <si>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</si>
  <si>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</si>
  <si>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</si>
  <si>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</si>
  <si>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</si>
  <si>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</si>
  <si>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</si>
  <si>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</si>
  <si>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</si>
  <si>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</si>
  <si>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</si>
  <si>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</si>
  <si>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VSX Eph.</t>
  </si>
  <si>
    <t>VSX</t>
  </si>
  <si>
    <t>IBVS 5690</t>
  </si>
  <si>
    <t>I</t>
  </si>
  <si>
    <t>AQ Cap / gsc 6349-1322</t>
  </si>
  <si>
    <t>EW/KW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</si>
  <si>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</si>
  <si>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</si>
  <si>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</si>
  <si>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</si>
  <si>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</si>
  <si>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</si>
  <si>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</si>
  <si>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</si>
  <si>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</si>
  <si>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</si>
  <si>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</si>
  <si>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</si>
  <si>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</si>
  <si>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</si>
  <si>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</si>
  <si>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</si>
  <si>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</si>
  <si>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</si>
  <si>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</si>
  <si>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2445527.571 </t>
  </si>
  <si>
    <t> 12.07.1983 01:42 </t>
  </si>
  <si>
    <t> -0.011 </t>
  </si>
  <si>
    <t>V </t>
  </si>
  <si>
    <t> K.Locher </t>
  </si>
  <si>
    <t> BBS 67 </t>
  </si>
  <si>
    <t>2445529.524 </t>
  </si>
  <si>
    <t> 14.07.1983 00:34 </t>
  </si>
  <si>
    <t> -0.121 </t>
  </si>
  <si>
    <t>2445531.508 </t>
  </si>
  <si>
    <t> 16.07.1983 00:11 </t>
  </si>
  <si>
    <t> -0.041 </t>
  </si>
  <si>
    <t>2445547.419 </t>
  </si>
  <si>
    <t> 31.07.1983 22:03 </t>
  </si>
  <si>
    <t> 0.001 </t>
  </si>
  <si>
    <t> M.Andrakakao </t>
  </si>
  <si>
    <t>2445547.422 </t>
  </si>
  <si>
    <t> 31.07.1983 22:07 </t>
  </si>
  <si>
    <t> 0.004 </t>
  </si>
  <si>
    <t>2445547.429 </t>
  </si>
  <si>
    <t> 31.07.1983 22:17 </t>
  </si>
  <si>
    <t> 0.011 </t>
  </si>
  <si>
    <t>2445548.524 </t>
  </si>
  <si>
    <t> 02.08.1983 00:34 </t>
  </si>
  <si>
    <t> -0.005 </t>
  </si>
  <si>
    <t> BBS 68 </t>
  </si>
  <si>
    <t>2445553.408 </t>
  </si>
  <si>
    <t> 06.08.1983 21:47 </t>
  </si>
  <si>
    <t>2445555.390 </t>
  </si>
  <si>
    <t> 08.08.1983 21:21 </t>
  </si>
  <si>
    <t> 0.037 </t>
  </si>
  <si>
    <t>2445565.532 </t>
  </si>
  <si>
    <t> 19.08.1983 00:46 </t>
  </si>
  <si>
    <t> 0.023 </t>
  </si>
  <si>
    <t>2445580.336 </t>
  </si>
  <si>
    <t> 02.09.1983 20:03 </t>
  </si>
  <si>
    <t> -0.090 </t>
  </si>
  <si>
    <t>2445641.353 </t>
  </si>
  <si>
    <t> 02.11.1983 20:28 </t>
  </si>
  <si>
    <t> -0.012 </t>
  </si>
  <si>
    <t> BBS 69 </t>
  </si>
  <si>
    <t>2453558.8997 </t>
  </si>
  <si>
    <t> 07.07.2005 09:35 </t>
  </si>
  <si>
    <t> -0.0011 </t>
  </si>
  <si>
    <t>E </t>
  </si>
  <si>
    <t>?</t>
  </si>
  <si>
    <t> T. Krajci </t>
  </si>
  <si>
    <t>IBVS 5690 </t>
  </si>
  <si>
    <t>2454700.0657 </t>
  </si>
  <si>
    <t> 21.08.2008 13:34 </t>
  </si>
  <si>
    <t> -0.0001 </t>
  </si>
  <si>
    <t>C </t>
  </si>
  <si>
    <t>Ic</t>
  </si>
  <si>
    <t> K.Nakajima </t>
  </si>
  <si>
    <t>VSB 48 </t>
  </si>
  <si>
    <t>2454751.0055 </t>
  </si>
  <si>
    <t> 11.10.2008 12:07 </t>
  </si>
  <si>
    <t> -0.0009 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</si>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</sst>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6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2" borderId="13" xfId="0" applyFont="1" applyFill="1" applyBorder="1" applyAlignment="1">
      <alignment horizontal="left" vertical="top" wrapText="1" inden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right" vertical="top" wrapText="1"/>
    </xf>
    <xf numFmtId="0" fontId="16" fillId="2" borderId="13" xfId="7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AQ Cap - O-C Diagr.</a:t>
            </a:r>
          </a:p>
        </c:rich>
      </c:tx>
      <c:layout>
        <c:manualLayout>
          <c:xMode val="edge"/>
          <c:yMode val="edge"/>
          <c:x val="0.38633017826709254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24378093931449"/>
          <c:y val="0.14723926380368099"/>
          <c:w val="0.81872273368047521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-19995.5</c:v>
                </c:pt>
                <c:pt idx="1">
                  <c:v>-19989.5</c:v>
                </c:pt>
                <c:pt idx="2">
                  <c:v>-19983.5</c:v>
                </c:pt>
                <c:pt idx="3">
                  <c:v>-19933</c:v>
                </c:pt>
                <c:pt idx="4">
                  <c:v>-19933</c:v>
                </c:pt>
                <c:pt idx="5">
                  <c:v>-19933</c:v>
                </c:pt>
                <c:pt idx="6">
                  <c:v>-19929.5</c:v>
                </c:pt>
                <c:pt idx="7">
                  <c:v>-19914.5</c:v>
                </c:pt>
                <c:pt idx="8">
                  <c:v>-19908</c:v>
                </c:pt>
                <c:pt idx="9">
                  <c:v>-19876</c:v>
                </c:pt>
                <c:pt idx="10">
                  <c:v>-19829.5</c:v>
                </c:pt>
                <c:pt idx="11">
                  <c:v>-19637</c:v>
                </c:pt>
                <c:pt idx="12">
                  <c:v>0</c:v>
                </c:pt>
                <c:pt idx="13">
                  <c:v>5309</c:v>
                </c:pt>
                <c:pt idx="14">
                  <c:v>8904.5</c:v>
                </c:pt>
                <c:pt idx="15">
                  <c:v>9065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0F-4802-8E38-F2D127D446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-19995.5</c:v>
                </c:pt>
                <c:pt idx="1">
                  <c:v>-19989.5</c:v>
                </c:pt>
                <c:pt idx="2">
                  <c:v>-19983.5</c:v>
                </c:pt>
                <c:pt idx="3">
                  <c:v>-19933</c:v>
                </c:pt>
                <c:pt idx="4">
                  <c:v>-19933</c:v>
                </c:pt>
                <c:pt idx="5">
                  <c:v>-19933</c:v>
                </c:pt>
                <c:pt idx="6">
                  <c:v>-19929.5</c:v>
                </c:pt>
                <c:pt idx="7">
                  <c:v>-19914.5</c:v>
                </c:pt>
                <c:pt idx="8">
                  <c:v>-19908</c:v>
                </c:pt>
                <c:pt idx="9">
                  <c:v>-19876</c:v>
                </c:pt>
                <c:pt idx="10">
                  <c:v>-19829.5</c:v>
                </c:pt>
                <c:pt idx="11">
                  <c:v>-19637</c:v>
                </c:pt>
                <c:pt idx="12">
                  <c:v>0</c:v>
                </c:pt>
                <c:pt idx="13">
                  <c:v>5309</c:v>
                </c:pt>
                <c:pt idx="14">
                  <c:v>8904.5</c:v>
                </c:pt>
                <c:pt idx="15">
                  <c:v>9065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-7.6227999998081941E-2</c:v>
                </c:pt>
                <c:pt idx="1">
                  <c:v>-2.7532000000064727E-2</c:v>
                </c:pt>
                <c:pt idx="2">
                  <c:v>5.2164000007905997E-2</c:v>
                </c:pt>
                <c:pt idx="3">
                  <c:v>-6.4727999997558072E-2</c:v>
                </c:pt>
                <c:pt idx="4">
                  <c:v>-6.1728000000584871E-2</c:v>
                </c:pt>
                <c:pt idx="5">
                  <c:v>-5.4728000002796762E-2</c:v>
                </c:pt>
                <c:pt idx="6">
                  <c:v>-7.0571999996900558E-2</c:v>
                </c:pt>
                <c:pt idx="7">
                  <c:v>5.2668000003905036E-2</c:v>
                </c:pt>
                <c:pt idx="8">
                  <c:v>-2.8328000000328757E-2</c:v>
                </c:pt>
                <c:pt idx="9">
                  <c:v>-4.2615999998815823E-2</c:v>
                </c:pt>
                <c:pt idx="10">
                  <c:v>3.0280000064522028E-3</c:v>
                </c:pt>
                <c:pt idx="11">
                  <c:v>-7.6391999995394144E-2</c:v>
                </c:pt>
                <c:pt idx="12">
                  <c:v>0</c:v>
                </c:pt>
                <c:pt idx="14">
                  <c:v>2.0872000000963453E-2</c:v>
                </c:pt>
                <c:pt idx="15">
                  <c:v>2.0540000004984904E-2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0F-4802-8E38-F2D127D446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-19995.5</c:v>
                </c:pt>
                <c:pt idx="1">
                  <c:v>-19989.5</c:v>
                </c:pt>
                <c:pt idx="2">
                  <c:v>-19983.5</c:v>
                </c:pt>
                <c:pt idx="3">
                  <c:v>-19933</c:v>
                </c:pt>
                <c:pt idx="4">
                  <c:v>-19933</c:v>
                </c:pt>
                <c:pt idx="5">
                  <c:v>-19933</c:v>
                </c:pt>
                <c:pt idx="6">
                  <c:v>-19929.5</c:v>
                </c:pt>
                <c:pt idx="7">
                  <c:v>-19914.5</c:v>
                </c:pt>
                <c:pt idx="8">
                  <c:v>-19908</c:v>
                </c:pt>
                <c:pt idx="9">
                  <c:v>-19876</c:v>
                </c:pt>
                <c:pt idx="10">
                  <c:v>-19829.5</c:v>
                </c:pt>
                <c:pt idx="11">
                  <c:v>-19637</c:v>
                </c:pt>
                <c:pt idx="12">
                  <c:v>0</c:v>
                </c:pt>
                <c:pt idx="13">
                  <c:v>5309</c:v>
                </c:pt>
                <c:pt idx="14">
                  <c:v>8904.5</c:v>
                </c:pt>
                <c:pt idx="15">
                  <c:v>9065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0F-4802-8E38-F2D127D446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-19995.5</c:v>
                </c:pt>
                <c:pt idx="1">
                  <c:v>-19989.5</c:v>
                </c:pt>
                <c:pt idx="2">
                  <c:v>-19983.5</c:v>
                </c:pt>
                <c:pt idx="3">
                  <c:v>-19933</c:v>
                </c:pt>
                <c:pt idx="4">
                  <c:v>-19933</c:v>
                </c:pt>
                <c:pt idx="5">
                  <c:v>-19933</c:v>
                </c:pt>
                <c:pt idx="6">
                  <c:v>-19929.5</c:v>
                </c:pt>
                <c:pt idx="7">
                  <c:v>-19914.5</c:v>
                </c:pt>
                <c:pt idx="8">
                  <c:v>-19908</c:v>
                </c:pt>
                <c:pt idx="9">
                  <c:v>-19876</c:v>
                </c:pt>
                <c:pt idx="10">
                  <c:v>-19829.5</c:v>
                </c:pt>
                <c:pt idx="11">
                  <c:v>-19637</c:v>
                </c:pt>
                <c:pt idx="12">
                  <c:v>0</c:v>
                </c:pt>
                <c:pt idx="13">
                  <c:v>5309</c:v>
                </c:pt>
                <c:pt idx="14">
                  <c:v>8904.5</c:v>
                </c:pt>
                <c:pt idx="15">
                  <c:v>9065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3">
                  <c:v>9.0440000058151782E-3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0F-4802-8E38-F2D127D446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-19995.5</c:v>
                </c:pt>
                <c:pt idx="1">
                  <c:v>-19989.5</c:v>
                </c:pt>
                <c:pt idx="2">
                  <c:v>-19983.5</c:v>
                </c:pt>
                <c:pt idx="3">
                  <c:v>-19933</c:v>
                </c:pt>
                <c:pt idx="4">
                  <c:v>-19933</c:v>
                </c:pt>
                <c:pt idx="5">
                  <c:v>-19933</c:v>
                </c:pt>
                <c:pt idx="6">
                  <c:v>-19929.5</c:v>
                </c:pt>
                <c:pt idx="7">
                  <c:v>-19914.5</c:v>
                </c:pt>
                <c:pt idx="8">
                  <c:v>-19908</c:v>
                </c:pt>
                <c:pt idx="9">
                  <c:v>-19876</c:v>
                </c:pt>
                <c:pt idx="10">
                  <c:v>-19829.5</c:v>
                </c:pt>
                <c:pt idx="11">
                  <c:v>-19637</c:v>
                </c:pt>
                <c:pt idx="12">
                  <c:v>0</c:v>
                </c:pt>
                <c:pt idx="13">
                  <c:v>5309</c:v>
                </c:pt>
                <c:pt idx="14">
                  <c:v>8904.5</c:v>
                </c:pt>
                <c:pt idx="15">
                  <c:v>9065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0F-4802-8E38-F2D127D446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-19995.5</c:v>
                </c:pt>
                <c:pt idx="1">
                  <c:v>-19989.5</c:v>
                </c:pt>
                <c:pt idx="2">
                  <c:v>-19983.5</c:v>
                </c:pt>
                <c:pt idx="3">
                  <c:v>-19933</c:v>
                </c:pt>
                <c:pt idx="4">
                  <c:v>-19933</c:v>
                </c:pt>
                <c:pt idx="5">
                  <c:v>-19933</c:v>
                </c:pt>
                <c:pt idx="6">
                  <c:v>-19929.5</c:v>
                </c:pt>
                <c:pt idx="7">
                  <c:v>-19914.5</c:v>
                </c:pt>
                <c:pt idx="8">
                  <c:v>-19908</c:v>
                </c:pt>
                <c:pt idx="9">
                  <c:v>-19876</c:v>
                </c:pt>
                <c:pt idx="10">
                  <c:v>-19829.5</c:v>
                </c:pt>
                <c:pt idx="11">
                  <c:v>-19637</c:v>
                </c:pt>
                <c:pt idx="12">
                  <c:v>0</c:v>
                </c:pt>
                <c:pt idx="13">
                  <c:v>5309</c:v>
                </c:pt>
                <c:pt idx="14">
                  <c:v>8904.5</c:v>
                </c:pt>
                <c:pt idx="15">
                  <c:v>9065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0F-4802-8E38-F2D127D446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5.0000000000000001E-4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-19995.5</c:v>
                </c:pt>
                <c:pt idx="1">
                  <c:v>-19989.5</c:v>
                </c:pt>
                <c:pt idx="2">
                  <c:v>-19983.5</c:v>
                </c:pt>
                <c:pt idx="3">
                  <c:v>-19933</c:v>
                </c:pt>
                <c:pt idx="4">
                  <c:v>-19933</c:v>
                </c:pt>
                <c:pt idx="5">
                  <c:v>-19933</c:v>
                </c:pt>
                <c:pt idx="6">
                  <c:v>-19929.5</c:v>
                </c:pt>
                <c:pt idx="7">
                  <c:v>-19914.5</c:v>
                </c:pt>
                <c:pt idx="8">
                  <c:v>-19908</c:v>
                </c:pt>
                <c:pt idx="9">
                  <c:v>-19876</c:v>
                </c:pt>
                <c:pt idx="10">
                  <c:v>-19829.5</c:v>
                </c:pt>
                <c:pt idx="11">
                  <c:v>-19637</c:v>
                </c:pt>
                <c:pt idx="12">
                  <c:v>0</c:v>
                </c:pt>
                <c:pt idx="13">
                  <c:v>5309</c:v>
                </c:pt>
                <c:pt idx="14">
                  <c:v>8904.5</c:v>
                </c:pt>
                <c:pt idx="15">
                  <c:v>9065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0F-4802-8E38-F2D127D446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-19995.5</c:v>
                </c:pt>
                <c:pt idx="1">
                  <c:v>-19989.5</c:v>
                </c:pt>
                <c:pt idx="2">
                  <c:v>-19983.5</c:v>
                </c:pt>
                <c:pt idx="3">
                  <c:v>-19933</c:v>
                </c:pt>
                <c:pt idx="4">
                  <c:v>-19933</c:v>
                </c:pt>
                <c:pt idx="5">
                  <c:v>-19933</c:v>
                </c:pt>
                <c:pt idx="6">
                  <c:v>-19929.5</c:v>
                </c:pt>
                <c:pt idx="7">
                  <c:v>-19914.5</c:v>
                </c:pt>
                <c:pt idx="8">
                  <c:v>-19908</c:v>
                </c:pt>
                <c:pt idx="9">
                  <c:v>-19876</c:v>
                </c:pt>
                <c:pt idx="10">
                  <c:v>-19829.5</c:v>
                </c:pt>
                <c:pt idx="11">
                  <c:v>-19637</c:v>
                </c:pt>
                <c:pt idx="12">
                  <c:v>0</c:v>
                </c:pt>
                <c:pt idx="13">
                  <c:v>5309</c:v>
                </c:pt>
                <c:pt idx="14">
                  <c:v>8904.5</c:v>
                </c:pt>
                <c:pt idx="15">
                  <c:v>9065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-3.3140884076630822E-2</c:v>
                </c:pt>
                <c:pt idx="1">
                  <c:v>-3.3130204942880659E-2</c:v>
                </c:pt>
                <c:pt idx="2">
                  <c:v>-3.3119525809130509E-2</c:v>
                </c:pt>
                <c:pt idx="3">
                  <c:v>-3.3029643100066661E-2</c:v>
                </c:pt>
                <c:pt idx="4">
                  <c:v>-3.3029643100066661E-2</c:v>
                </c:pt>
                <c:pt idx="5">
                  <c:v>-3.3029643100066661E-2</c:v>
                </c:pt>
                <c:pt idx="6">
                  <c:v>-3.3023413605379068E-2</c:v>
                </c:pt>
                <c:pt idx="7">
                  <c:v>-3.299671577100366E-2</c:v>
                </c:pt>
                <c:pt idx="8">
                  <c:v>-3.2985146709440985E-2</c:v>
                </c:pt>
                <c:pt idx="9">
                  <c:v>-3.2928191329440137E-2</c:v>
                </c:pt>
                <c:pt idx="10">
                  <c:v>-3.2845428042876393E-2</c:v>
                </c:pt>
                <c:pt idx="11">
                  <c:v>-3.2502805835058768E-2</c:v>
                </c:pt>
                <c:pt idx="12">
                  <c:v>2.4482190735897504E-3</c:v>
                </c:pt>
                <c:pt idx="13">
                  <c:v>1.1897472586856287E-2</c:v>
                </c:pt>
                <c:pt idx="14">
                  <c:v>1.8296943486639641E-2</c:v>
                </c:pt>
                <c:pt idx="15">
                  <c:v>1.8582610314456422E-2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0F-4802-8E38-F2D127D44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799992"/>
        <c:axId val="1"/>
      </c:scatterChart>
      <c:valAx>
        <c:axId val="681799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03151556278349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34175334323922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799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4280087203067"/>
          <c:y val="0.92024539877300615"/>
          <c:w val="0.6211000222297621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200025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FB25AAB-2098-E857-F787-60AD34BB8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no48.pdf" TargetMode="External"/><Relationship Id="rId2" Type="http://schemas.openxmlformats.org/officeDocument/2006/relationships/hyperlink" Target="http://www.konkoly.hu/cgi-bin/IBVS?5690" TargetMode="External"/><Relationship Id="rId1" Type="http://schemas.openxmlformats.org/officeDocument/2006/relationships/hyperlink" Target="http://www.bav-astro.de/LkDB/index.php?lang=en&amp;sprache_dial=en" TargetMode="External"/><Relationship Id="rId4" Type="http://schemas.openxmlformats.org/officeDocument/2006/relationships/hyperlink" Target="http://vsolj.cetus-net.org/no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workbookViewId="0">
      <selection activeCell="L39" sqref="L3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31</v>
      </c>
    </row>
    <row r="2" spans="1:6" x14ac:dyDescent="0.2">
      <c r="A2" t="s">
        <v>22</v>
      </c>
      <c r="B2" t="s">
        <v>32</v>
      </c>
      <c r="C2" s="3"/>
      <c r="D2" s="3"/>
    </row>
    <row r="3" spans="1:6" ht="13.5" thickBot="1" x14ac:dyDescent="0.25"/>
    <row r="4" spans="1:6" ht="13.5" thickBot="1" x14ac:dyDescent="0.25">
      <c r="A4" s="5" t="s">
        <v>27</v>
      </c>
      <c r="C4" s="8">
        <v>51873.898999999998</v>
      </c>
      <c r="D4" s="9">
        <v>0.317384</v>
      </c>
    </row>
    <row r="5" spans="1:6" x14ac:dyDescent="0.2">
      <c r="A5" s="13" t="s">
        <v>33</v>
      </c>
      <c r="B5" s="14"/>
      <c r="C5" s="15">
        <v>-9.5</v>
      </c>
      <c r="D5" s="14" t="s">
        <v>34</v>
      </c>
    </row>
    <row r="6" spans="1:6" x14ac:dyDescent="0.2">
      <c r="A6" s="5" t="s">
        <v>0</v>
      </c>
    </row>
    <row r="7" spans="1:6" x14ac:dyDescent="0.2">
      <c r="A7" t="s">
        <v>1</v>
      </c>
      <c r="C7">
        <f>+C4</f>
        <v>51873.898999999998</v>
      </c>
    </row>
    <row r="8" spans="1:6" x14ac:dyDescent="0.2">
      <c r="A8" t="s">
        <v>2</v>
      </c>
      <c r="C8">
        <f>+D4</f>
        <v>0.317384</v>
      </c>
    </row>
    <row r="9" spans="1:6" x14ac:dyDescent="0.2">
      <c r="A9" s="28" t="s">
        <v>38</v>
      </c>
      <c r="B9" s="29">
        <v>21</v>
      </c>
      <c r="C9" s="17" t="str">
        <f>"F"&amp;B9</f>
        <v>F21</v>
      </c>
      <c r="D9" s="18" t="str">
        <f>"G"&amp;B9</f>
        <v>G21</v>
      </c>
    </row>
    <row r="10" spans="1:6" ht="13.5" thickBot="1" x14ac:dyDescent="0.25">
      <c r="A10" s="14"/>
      <c r="B10" s="14"/>
      <c r="C10" s="4" t="s">
        <v>18</v>
      </c>
      <c r="D10" s="4" t="s">
        <v>19</v>
      </c>
      <c r="E10" s="14"/>
    </row>
    <row r="11" spans="1:6" x14ac:dyDescent="0.2">
      <c r="A11" s="14" t="s">
        <v>14</v>
      </c>
      <c r="B11" s="14"/>
      <c r="C11" s="16">
        <f ca="1">INTERCEPT(INDIRECT($D$9):G991,INDIRECT($C$9):F991)</f>
        <v>2.4482190735897504E-3</v>
      </c>
      <c r="D11" s="3"/>
      <c r="E11" s="14"/>
    </row>
    <row r="12" spans="1:6" x14ac:dyDescent="0.2">
      <c r="A12" s="14" t="s">
        <v>15</v>
      </c>
      <c r="B12" s="14"/>
      <c r="C12" s="16">
        <f ca="1">SLOPE(INDIRECT($D$9):G991,INDIRECT($C$9):F991)</f>
        <v>1.7798556250266597E-6</v>
      </c>
      <c r="D12" s="3"/>
      <c r="E12" s="14"/>
    </row>
    <row r="13" spans="1:6" x14ac:dyDescent="0.2">
      <c r="A13" s="14" t="s">
        <v>17</v>
      </c>
      <c r="B13" s="14"/>
      <c r="C13" s="3" t="s">
        <v>12</v>
      </c>
    </row>
    <row r="14" spans="1:6" x14ac:dyDescent="0.2">
      <c r="A14" s="14"/>
      <c r="B14" s="14"/>
      <c r="C14" s="14"/>
    </row>
    <row r="15" spans="1:6" x14ac:dyDescent="0.2">
      <c r="A15" s="19" t="s">
        <v>16</v>
      </c>
      <c r="B15" s="14"/>
      <c r="C15" s="20">
        <f ca="1">(C7+C11)+(C8+C12)*INT(MAX(F21:F3532))</f>
        <v>54751.003542610313</v>
      </c>
      <c r="E15" s="21" t="s">
        <v>39</v>
      </c>
      <c r="F15" s="15">
        <v>1</v>
      </c>
    </row>
    <row r="16" spans="1:6" x14ac:dyDescent="0.2">
      <c r="A16" s="23" t="s">
        <v>3</v>
      </c>
      <c r="B16" s="14"/>
      <c r="C16" s="24">
        <f ca="1">+C8+C12</f>
        <v>0.31738577985562505</v>
      </c>
      <c r="E16" s="21" t="s">
        <v>35</v>
      </c>
      <c r="F16" s="22">
        <f ca="1">NOW()+15018.5+$C$5/24</f>
        <v>60326.689816550926</v>
      </c>
    </row>
    <row r="17" spans="1:17" ht="13.5" thickBot="1" x14ac:dyDescent="0.25">
      <c r="A17" s="21" t="s">
        <v>26</v>
      </c>
      <c r="B17" s="14"/>
      <c r="C17" s="14">
        <f>COUNT(C21:C2190)</f>
        <v>16</v>
      </c>
      <c r="E17" s="21" t="s">
        <v>40</v>
      </c>
      <c r="F17" s="22">
        <f ca="1">ROUND(2*(F16-$C$7)/$C$8,0)/2+F15</f>
        <v>26633.5</v>
      </c>
    </row>
    <row r="18" spans="1:17" ht="14.25" thickTop="1" thickBot="1" x14ac:dyDescent="0.25">
      <c r="A18" s="23" t="s">
        <v>4</v>
      </c>
      <c r="B18" s="14"/>
      <c r="C18" s="26">
        <f ca="1">+C15</f>
        <v>54751.003542610313</v>
      </c>
      <c r="D18" s="27">
        <f ca="1">+C16</f>
        <v>0.31738577985562505</v>
      </c>
      <c r="E18" s="21" t="s">
        <v>36</v>
      </c>
      <c r="F18" s="18">
        <f ca="1">ROUND(2*(F16-$C$15)/$C$16,0)/2+F15</f>
        <v>17568.5</v>
      </c>
    </row>
    <row r="19" spans="1:17" ht="13.5" thickTop="1" x14ac:dyDescent="0.2">
      <c r="E19" s="21" t="s">
        <v>37</v>
      </c>
      <c r="F19" s="25">
        <f ca="1">+$C$15+$C$16*F18-15018.5-$C$5/24</f>
        <v>45308.891449337199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48</v>
      </c>
      <c r="I20" s="7" t="s">
        <v>51</v>
      </c>
      <c r="J20" s="7" t="s">
        <v>45</v>
      </c>
      <c r="K20" s="7" t="s">
        <v>43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 x14ac:dyDescent="0.2">
      <c r="A21" s="44" t="s">
        <v>57</v>
      </c>
      <c r="B21" s="45" t="s">
        <v>110</v>
      </c>
      <c r="C21" s="44">
        <v>45527.571000000004</v>
      </c>
      <c r="D21" s="44" t="s">
        <v>51</v>
      </c>
      <c r="E21">
        <f t="shared" ref="E21:E36" si="0">+(C21-C$7)/C$8</f>
        <v>-19995.740175938277</v>
      </c>
      <c r="F21">
        <f t="shared" ref="F21:F36" si="1">ROUND(2*E21,0)/2</f>
        <v>-19995.5</v>
      </c>
      <c r="G21">
        <f t="shared" ref="G21:G36" si="2">+C21-(C$7+F21*C$8)</f>
        <v>-7.6227999998081941E-2</v>
      </c>
      <c r="I21">
        <f t="shared" ref="I21:I33" si="3">+G21</f>
        <v>-7.6227999998081941E-2</v>
      </c>
      <c r="O21">
        <f t="shared" ref="O21:O36" ca="1" si="4">+C$11+C$12*$F21</f>
        <v>-3.3140884076630822E-2</v>
      </c>
      <c r="Q21" s="2">
        <f t="shared" ref="Q21:Q36" si="5">+C21-15018.5</f>
        <v>30509.071000000004</v>
      </c>
    </row>
    <row r="22" spans="1:17" x14ac:dyDescent="0.2">
      <c r="A22" s="44" t="s">
        <v>57</v>
      </c>
      <c r="B22" s="45" t="s">
        <v>30</v>
      </c>
      <c r="C22" s="44">
        <v>45529.523999999998</v>
      </c>
      <c r="D22" s="44" t="s">
        <v>51</v>
      </c>
      <c r="E22">
        <f t="shared" si="0"/>
        <v>-19989.586746653895</v>
      </c>
      <c r="F22">
        <f t="shared" si="1"/>
        <v>-19989.5</v>
      </c>
      <c r="G22">
        <f t="shared" si="2"/>
        <v>-2.7532000000064727E-2</v>
      </c>
      <c r="I22">
        <f t="shared" si="3"/>
        <v>-2.7532000000064727E-2</v>
      </c>
      <c r="O22">
        <f t="shared" ca="1" si="4"/>
        <v>-3.3130204942880659E-2</v>
      </c>
      <c r="Q22" s="2">
        <f t="shared" si="5"/>
        <v>30511.023999999998</v>
      </c>
    </row>
    <row r="23" spans="1:17" x14ac:dyDescent="0.2">
      <c r="A23" s="44" t="s">
        <v>57</v>
      </c>
      <c r="B23" s="45" t="s">
        <v>30</v>
      </c>
      <c r="C23" s="44">
        <v>45531.508000000002</v>
      </c>
      <c r="D23" s="44" t="s">
        <v>51</v>
      </c>
      <c r="E23">
        <f t="shared" si="0"/>
        <v>-19983.335643888779</v>
      </c>
      <c r="F23">
        <f t="shared" si="1"/>
        <v>-19983.5</v>
      </c>
      <c r="G23">
        <f t="shared" si="2"/>
        <v>5.2164000007905997E-2</v>
      </c>
      <c r="I23">
        <f t="shared" si="3"/>
        <v>5.2164000007905997E-2</v>
      </c>
      <c r="O23">
        <f t="shared" ca="1" si="4"/>
        <v>-3.3119525809130509E-2</v>
      </c>
      <c r="Q23" s="2">
        <f t="shared" si="5"/>
        <v>30513.008000000002</v>
      </c>
    </row>
    <row r="24" spans="1:17" x14ac:dyDescent="0.2">
      <c r="A24" s="44" t="s">
        <v>57</v>
      </c>
      <c r="B24" s="45" t="s">
        <v>30</v>
      </c>
      <c r="C24" s="44">
        <v>45547.419000000002</v>
      </c>
      <c r="D24" s="44" t="s">
        <v>51</v>
      </c>
      <c r="E24">
        <f t="shared" si="0"/>
        <v>-19933.203942227698</v>
      </c>
      <c r="F24">
        <f t="shared" si="1"/>
        <v>-19933</v>
      </c>
      <c r="G24">
        <f t="shared" si="2"/>
        <v>-6.4727999997558072E-2</v>
      </c>
      <c r="I24">
        <f t="shared" si="3"/>
        <v>-6.4727999997558072E-2</v>
      </c>
      <c r="O24">
        <f t="shared" ca="1" si="4"/>
        <v>-3.3029643100066661E-2</v>
      </c>
      <c r="Q24" s="2">
        <f t="shared" si="5"/>
        <v>30528.919000000002</v>
      </c>
    </row>
    <row r="25" spans="1:17" x14ac:dyDescent="0.2">
      <c r="A25" s="44" t="s">
        <v>57</v>
      </c>
      <c r="B25" s="45" t="s">
        <v>30</v>
      </c>
      <c r="C25" s="44">
        <v>45547.421999999999</v>
      </c>
      <c r="D25" s="44" t="s">
        <v>51</v>
      </c>
      <c r="E25">
        <f t="shared" si="0"/>
        <v>-19933.194489955382</v>
      </c>
      <c r="F25">
        <f t="shared" si="1"/>
        <v>-19933</v>
      </c>
      <c r="G25">
        <f t="shared" si="2"/>
        <v>-6.1728000000584871E-2</v>
      </c>
      <c r="I25">
        <f t="shared" si="3"/>
        <v>-6.1728000000584871E-2</v>
      </c>
      <c r="O25">
        <f t="shared" ca="1" si="4"/>
        <v>-3.3029643100066661E-2</v>
      </c>
      <c r="Q25" s="2">
        <f t="shared" si="5"/>
        <v>30528.921999999999</v>
      </c>
    </row>
    <row r="26" spans="1:17" x14ac:dyDescent="0.2">
      <c r="A26" s="44" t="s">
        <v>57</v>
      </c>
      <c r="B26" s="45" t="s">
        <v>30</v>
      </c>
      <c r="C26" s="44">
        <v>45547.428999999996</v>
      </c>
      <c r="D26" s="44" t="s">
        <v>51</v>
      </c>
      <c r="E26">
        <f t="shared" si="0"/>
        <v>-19933.172434653294</v>
      </c>
      <c r="F26">
        <f t="shared" si="1"/>
        <v>-19933</v>
      </c>
      <c r="G26">
        <f t="shared" si="2"/>
        <v>-5.4728000002796762E-2</v>
      </c>
      <c r="I26">
        <f t="shared" si="3"/>
        <v>-5.4728000002796762E-2</v>
      </c>
      <c r="O26">
        <f t="shared" ca="1" si="4"/>
        <v>-3.3029643100066661E-2</v>
      </c>
      <c r="Q26" s="2">
        <f t="shared" si="5"/>
        <v>30528.928999999996</v>
      </c>
    </row>
    <row r="27" spans="1:17" x14ac:dyDescent="0.2">
      <c r="A27" s="44" t="s">
        <v>77</v>
      </c>
      <c r="B27" s="45" t="s">
        <v>110</v>
      </c>
      <c r="C27" s="44">
        <v>45548.523999999998</v>
      </c>
      <c r="D27" s="44" t="s">
        <v>51</v>
      </c>
      <c r="E27">
        <f t="shared" si="0"/>
        <v>-19929.722355254202</v>
      </c>
      <c r="F27">
        <f t="shared" si="1"/>
        <v>-19929.5</v>
      </c>
      <c r="G27">
        <f t="shared" si="2"/>
        <v>-7.0571999996900558E-2</v>
      </c>
      <c r="I27">
        <f t="shared" si="3"/>
        <v>-7.0571999996900558E-2</v>
      </c>
      <c r="O27">
        <f t="shared" ca="1" si="4"/>
        <v>-3.3023413605379068E-2</v>
      </c>
      <c r="Q27" s="2">
        <f t="shared" si="5"/>
        <v>30530.023999999998</v>
      </c>
    </row>
    <row r="28" spans="1:17" x14ac:dyDescent="0.2">
      <c r="A28" s="44" t="s">
        <v>77</v>
      </c>
      <c r="B28" s="45" t="s">
        <v>30</v>
      </c>
      <c r="C28" s="44">
        <v>45553.408000000003</v>
      </c>
      <c r="D28" s="44" t="s">
        <v>51</v>
      </c>
      <c r="E28">
        <f t="shared" si="0"/>
        <v>-19914.334055907024</v>
      </c>
      <c r="F28">
        <f t="shared" si="1"/>
        <v>-19914.5</v>
      </c>
      <c r="G28">
        <f t="shared" si="2"/>
        <v>5.2668000003905036E-2</v>
      </c>
      <c r="I28">
        <f t="shared" si="3"/>
        <v>5.2668000003905036E-2</v>
      </c>
      <c r="O28">
        <f t="shared" ca="1" si="4"/>
        <v>-3.299671577100366E-2</v>
      </c>
      <c r="Q28" s="2">
        <f t="shared" si="5"/>
        <v>30534.908000000003</v>
      </c>
    </row>
    <row r="29" spans="1:17" x14ac:dyDescent="0.2">
      <c r="A29" s="44" t="s">
        <v>77</v>
      </c>
      <c r="B29" s="45" t="s">
        <v>30</v>
      </c>
      <c r="C29" s="44">
        <v>45555.39</v>
      </c>
      <c r="D29" s="44" t="s">
        <v>51</v>
      </c>
      <c r="E29">
        <f t="shared" si="0"/>
        <v>-19908.089254656814</v>
      </c>
      <c r="F29">
        <f t="shared" si="1"/>
        <v>-19908</v>
      </c>
      <c r="G29">
        <f t="shared" si="2"/>
        <v>-2.8328000000328757E-2</v>
      </c>
      <c r="I29">
        <f t="shared" si="3"/>
        <v>-2.8328000000328757E-2</v>
      </c>
      <c r="O29">
        <f t="shared" ca="1" si="4"/>
        <v>-3.2985146709440985E-2</v>
      </c>
      <c r="Q29" s="2">
        <f t="shared" si="5"/>
        <v>30536.89</v>
      </c>
    </row>
    <row r="30" spans="1:17" x14ac:dyDescent="0.2">
      <c r="A30" s="44" t="s">
        <v>77</v>
      </c>
      <c r="B30" s="45" t="s">
        <v>30</v>
      </c>
      <c r="C30" s="44">
        <v>45565.531999999999</v>
      </c>
      <c r="D30" s="44" t="s">
        <v>51</v>
      </c>
      <c r="E30">
        <f t="shared" si="0"/>
        <v>-19876.134272679148</v>
      </c>
      <c r="F30">
        <f t="shared" si="1"/>
        <v>-19876</v>
      </c>
      <c r="G30">
        <f t="shared" si="2"/>
        <v>-4.2615999998815823E-2</v>
      </c>
      <c r="I30">
        <f t="shared" si="3"/>
        <v>-4.2615999998815823E-2</v>
      </c>
      <c r="O30">
        <f t="shared" ca="1" si="4"/>
        <v>-3.2928191329440137E-2</v>
      </c>
      <c r="Q30" s="2">
        <f t="shared" si="5"/>
        <v>30547.031999999999</v>
      </c>
    </row>
    <row r="31" spans="1:17" x14ac:dyDescent="0.2">
      <c r="A31" s="44" t="s">
        <v>77</v>
      </c>
      <c r="B31" s="45" t="s">
        <v>30</v>
      </c>
      <c r="C31" s="44">
        <v>45580.336000000003</v>
      </c>
      <c r="D31" s="44" t="s">
        <v>51</v>
      </c>
      <c r="E31">
        <f t="shared" si="0"/>
        <v>-19829.490459506447</v>
      </c>
      <c r="F31">
        <f t="shared" si="1"/>
        <v>-19829.5</v>
      </c>
      <c r="G31">
        <f t="shared" si="2"/>
        <v>3.0280000064522028E-3</v>
      </c>
      <c r="I31">
        <f t="shared" si="3"/>
        <v>3.0280000064522028E-3</v>
      </c>
      <c r="O31">
        <f t="shared" ca="1" si="4"/>
        <v>-3.2845428042876393E-2</v>
      </c>
      <c r="Q31" s="2">
        <f t="shared" si="5"/>
        <v>30561.836000000003</v>
      </c>
    </row>
    <row r="32" spans="1:17" x14ac:dyDescent="0.2">
      <c r="A32" s="44" t="s">
        <v>92</v>
      </c>
      <c r="B32" s="45" t="s">
        <v>30</v>
      </c>
      <c r="C32" s="44">
        <v>45641.353000000003</v>
      </c>
      <c r="D32" s="44" t="s">
        <v>51</v>
      </c>
      <c r="E32">
        <f t="shared" si="0"/>
        <v>-19637.240692662501</v>
      </c>
      <c r="F32">
        <f t="shared" si="1"/>
        <v>-19637</v>
      </c>
      <c r="G32">
        <f t="shared" si="2"/>
        <v>-7.6391999995394144E-2</v>
      </c>
      <c r="I32">
        <f t="shared" si="3"/>
        <v>-7.6391999995394144E-2</v>
      </c>
      <c r="O32">
        <f t="shared" ca="1" si="4"/>
        <v>-3.2502805835058768E-2</v>
      </c>
      <c r="Q32" s="2">
        <f t="shared" si="5"/>
        <v>30622.853000000003</v>
      </c>
    </row>
    <row r="33" spans="1:18" x14ac:dyDescent="0.2">
      <c r="A33" t="s">
        <v>28</v>
      </c>
      <c r="C33" s="30">
        <v>51873.898999999998</v>
      </c>
      <c r="D33" s="30" t="s">
        <v>12</v>
      </c>
      <c r="E33">
        <f t="shared" si="0"/>
        <v>0</v>
      </c>
      <c r="F33">
        <f t="shared" si="1"/>
        <v>0</v>
      </c>
      <c r="G33">
        <f t="shared" si="2"/>
        <v>0</v>
      </c>
      <c r="I33">
        <f t="shared" si="3"/>
        <v>0</v>
      </c>
      <c r="O33">
        <f t="shared" ca="1" si="4"/>
        <v>2.4482190735897504E-3</v>
      </c>
      <c r="Q33" s="2">
        <f t="shared" si="5"/>
        <v>36855.398999999998</v>
      </c>
    </row>
    <row r="34" spans="1:18" x14ac:dyDescent="0.2">
      <c r="A34" s="10" t="s">
        <v>29</v>
      </c>
      <c r="B34" s="11" t="s">
        <v>30</v>
      </c>
      <c r="C34" s="12">
        <v>53558.899700000002</v>
      </c>
      <c r="D34" s="12">
        <v>5.0000000000000001E-4</v>
      </c>
      <c r="E34">
        <f t="shared" si="0"/>
        <v>5309.0284954503195</v>
      </c>
      <c r="F34">
        <f t="shared" si="1"/>
        <v>5309</v>
      </c>
      <c r="G34">
        <f t="shared" si="2"/>
        <v>9.0440000058151782E-3</v>
      </c>
      <c r="K34">
        <f>+G34</f>
        <v>9.0440000058151782E-3</v>
      </c>
      <c r="O34">
        <f t="shared" ca="1" si="4"/>
        <v>1.1897472586856287E-2</v>
      </c>
      <c r="Q34" s="2">
        <f t="shared" si="5"/>
        <v>38540.399700000002</v>
      </c>
      <c r="R34" t="s">
        <v>43</v>
      </c>
    </row>
    <row r="35" spans="1:18" x14ac:dyDescent="0.2">
      <c r="A35" s="44" t="s">
        <v>106</v>
      </c>
      <c r="B35" s="45" t="s">
        <v>110</v>
      </c>
      <c r="C35" s="44">
        <v>54700.065699999999</v>
      </c>
      <c r="D35" s="44" t="s">
        <v>51</v>
      </c>
      <c r="E35">
        <f t="shared" si="0"/>
        <v>8904.5657626093362</v>
      </c>
      <c r="F35">
        <f t="shared" si="1"/>
        <v>8904.5</v>
      </c>
      <c r="G35">
        <f t="shared" si="2"/>
        <v>2.0872000000963453E-2</v>
      </c>
      <c r="I35">
        <f>+G35</f>
        <v>2.0872000000963453E-2</v>
      </c>
      <c r="O35">
        <f t="shared" ca="1" si="4"/>
        <v>1.8296943486639641E-2</v>
      </c>
      <c r="Q35" s="2">
        <f t="shared" si="5"/>
        <v>39681.565699999999</v>
      </c>
    </row>
    <row r="36" spans="1:18" x14ac:dyDescent="0.2">
      <c r="A36" s="44" t="s">
        <v>106</v>
      </c>
      <c r="B36" s="45" t="s">
        <v>30</v>
      </c>
      <c r="C36" s="44">
        <v>54751.005499999999</v>
      </c>
      <c r="D36" s="44" t="s">
        <v>51</v>
      </c>
      <c r="E36">
        <f t="shared" si="0"/>
        <v>9065.0647165578666</v>
      </c>
      <c r="F36">
        <f t="shared" si="1"/>
        <v>9065</v>
      </c>
      <c r="G36">
        <f t="shared" si="2"/>
        <v>2.0540000004984904E-2</v>
      </c>
      <c r="I36">
        <f>+G36</f>
        <v>2.0540000004984904E-2</v>
      </c>
      <c r="O36">
        <f t="shared" ca="1" si="4"/>
        <v>1.8582610314456422E-2</v>
      </c>
      <c r="Q36" s="2">
        <f t="shared" si="5"/>
        <v>39732.505499999999</v>
      </c>
    </row>
    <row r="37" spans="1:18" x14ac:dyDescent="0.2">
      <c r="D37" s="3"/>
    </row>
    <row r="38" spans="1:18" x14ac:dyDescent="0.2">
      <c r="D38" s="3"/>
    </row>
    <row r="39" spans="1:18" x14ac:dyDescent="0.2">
      <c r="D39" s="3"/>
    </row>
    <row r="40" spans="1:18" x14ac:dyDescent="0.2">
      <c r="D40" s="3"/>
    </row>
    <row r="41" spans="1:18" x14ac:dyDescent="0.2">
      <c r="D41" s="3"/>
    </row>
    <row r="42" spans="1:18" x14ac:dyDescent="0.2">
      <c r="D42" s="3"/>
    </row>
    <row r="43" spans="1:18" x14ac:dyDescent="0.2">
      <c r="D43" s="3"/>
    </row>
    <row r="44" spans="1:18" x14ac:dyDescent="0.2">
      <c r="D44" s="3"/>
    </row>
    <row r="45" spans="1:18" x14ac:dyDescent="0.2">
      <c r="D45" s="3"/>
    </row>
    <row r="46" spans="1:18" x14ac:dyDescent="0.2">
      <c r="D46" s="3"/>
    </row>
    <row r="47" spans="1:18" x14ac:dyDescent="0.2">
      <c r="D47" s="3"/>
    </row>
    <row r="48" spans="1:18" x14ac:dyDescent="0.2">
      <c r="D48" s="3"/>
    </row>
    <row r="49" spans="4:4" x14ac:dyDescent="0.2">
      <c r="D49" s="3"/>
    </row>
    <row r="50" spans="4:4" x14ac:dyDescent="0.2">
      <c r="D50" s="3"/>
    </row>
    <row r="51" spans="4:4" x14ac:dyDescent="0.2">
      <c r="D51" s="3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7"/>
  <sheetViews>
    <sheetView topLeftCell="A2" workbookViewId="0">
      <selection activeCell="A12" sqref="A12:D25"/>
    </sheetView>
  </sheetViews>
  <sheetFormatPr defaultRowHeight="12.75" x14ac:dyDescent="0.2"/>
  <cols>
    <col min="1" max="1" width="19.7109375" style="30" customWidth="1"/>
    <col min="2" max="2" width="4.42578125" style="14" customWidth="1"/>
    <col min="3" max="3" width="12.7109375" style="30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30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31" t="s">
        <v>41</v>
      </c>
      <c r="I1" s="32" t="s">
        <v>42</v>
      </c>
      <c r="J1" s="33" t="s">
        <v>43</v>
      </c>
    </row>
    <row r="2" spans="1:16" x14ac:dyDescent="0.2">
      <c r="I2" s="34" t="s">
        <v>44</v>
      </c>
      <c r="J2" s="35" t="s">
        <v>45</v>
      </c>
    </row>
    <row r="3" spans="1:16" x14ac:dyDescent="0.2">
      <c r="A3" s="36" t="s">
        <v>46</v>
      </c>
      <c r="I3" s="34" t="s">
        <v>47</v>
      </c>
      <c r="J3" s="35" t="s">
        <v>48</v>
      </c>
    </row>
    <row r="4" spans="1:16" x14ac:dyDescent="0.2">
      <c r="I4" s="34" t="s">
        <v>49</v>
      </c>
      <c r="J4" s="35" t="s">
        <v>48</v>
      </c>
    </row>
    <row r="5" spans="1:16" ht="13.5" thickBot="1" x14ac:dyDescent="0.25">
      <c r="I5" s="37" t="s">
        <v>50</v>
      </c>
      <c r="J5" s="38" t="s">
        <v>51</v>
      </c>
    </row>
    <row r="10" spans="1:16" ht="13.5" thickBot="1" x14ac:dyDescent="0.25"/>
    <row r="11" spans="1:16" ht="12.75" customHeight="1" thickBot="1" x14ac:dyDescent="0.25">
      <c r="A11" s="30" t="str">
        <f t="shared" ref="A11:A25" si="0">P11</f>
        <v>IBVS 5690 </v>
      </c>
      <c r="B11" s="3" t="str">
        <f t="shared" ref="B11:B25" si="1">IF(H11=INT(H11),"I","II")</f>
        <v>I</v>
      </c>
      <c r="C11" s="30">
        <f t="shared" ref="C11:C25" si="2">1*G11</f>
        <v>53558.899700000002</v>
      </c>
      <c r="D11" s="14" t="str">
        <f t="shared" ref="D11:D25" si="3">VLOOKUP(F11,I$1:J$5,2,FALSE)</f>
        <v>vis</v>
      </c>
      <c r="E11" s="39">
        <f>VLOOKUP(C11,Active!C$21:E$973,3,FALSE)</f>
        <v>5309.0284954503195</v>
      </c>
      <c r="F11" s="3" t="s">
        <v>50</v>
      </c>
      <c r="G11" s="14" t="str">
        <f t="shared" ref="G11:G25" si="4">MID(I11,3,LEN(I11)-3)</f>
        <v>53558.8997</v>
      </c>
      <c r="H11" s="30">
        <f t="shared" ref="H11:H25" si="5">1*K11</f>
        <v>-2265</v>
      </c>
      <c r="I11" s="40" t="s">
        <v>93</v>
      </c>
      <c r="J11" s="41" t="s">
        <v>94</v>
      </c>
      <c r="K11" s="40">
        <v>-2265</v>
      </c>
      <c r="L11" s="40" t="s">
        <v>95</v>
      </c>
      <c r="M11" s="41" t="s">
        <v>96</v>
      </c>
      <c r="N11" s="41" t="s">
        <v>97</v>
      </c>
      <c r="O11" s="42" t="s">
        <v>98</v>
      </c>
      <c r="P11" s="43" t="s">
        <v>99</v>
      </c>
    </row>
    <row r="12" spans="1:16" ht="12.75" customHeight="1" thickBot="1" x14ac:dyDescent="0.25">
      <c r="A12" s="30" t="str">
        <f t="shared" si="0"/>
        <v> BBS 67 </v>
      </c>
      <c r="B12" s="3" t="str">
        <f t="shared" si="1"/>
        <v>II</v>
      </c>
      <c r="C12" s="30">
        <f t="shared" si="2"/>
        <v>45527.571000000004</v>
      </c>
      <c r="D12" s="14" t="str">
        <f t="shared" si="3"/>
        <v>vis</v>
      </c>
      <c r="E12" s="39">
        <f>VLOOKUP(C12,Active!C$21:E$973,3,FALSE)</f>
        <v>-19995.740175938277</v>
      </c>
      <c r="F12" s="3" t="s">
        <v>50</v>
      </c>
      <c r="G12" s="14" t="str">
        <f t="shared" si="4"/>
        <v>45527.571</v>
      </c>
      <c r="H12" s="30">
        <f t="shared" si="5"/>
        <v>-27569.5</v>
      </c>
      <c r="I12" s="40" t="s">
        <v>52</v>
      </c>
      <c r="J12" s="41" t="s">
        <v>53</v>
      </c>
      <c r="K12" s="40">
        <v>-27569.5</v>
      </c>
      <c r="L12" s="40" t="s">
        <v>54</v>
      </c>
      <c r="M12" s="41" t="s">
        <v>55</v>
      </c>
      <c r="N12" s="41"/>
      <c r="O12" s="42" t="s">
        <v>56</v>
      </c>
      <c r="P12" s="42" t="s">
        <v>57</v>
      </c>
    </row>
    <row r="13" spans="1:16" ht="12.75" customHeight="1" thickBot="1" x14ac:dyDescent="0.25">
      <c r="A13" s="30" t="str">
        <f t="shared" si="0"/>
        <v> BBS 67 </v>
      </c>
      <c r="B13" s="3" t="str">
        <f t="shared" si="1"/>
        <v>I</v>
      </c>
      <c r="C13" s="30">
        <f t="shared" si="2"/>
        <v>45529.523999999998</v>
      </c>
      <c r="D13" s="14" t="str">
        <f t="shared" si="3"/>
        <v>vis</v>
      </c>
      <c r="E13" s="39">
        <f>VLOOKUP(C13,Active!C$21:E$973,3,FALSE)</f>
        <v>-19989.586746653895</v>
      </c>
      <c r="F13" s="3" t="s">
        <v>50</v>
      </c>
      <c r="G13" s="14" t="str">
        <f t="shared" si="4"/>
        <v>45529.524</v>
      </c>
      <c r="H13" s="30">
        <f t="shared" si="5"/>
        <v>-27563</v>
      </c>
      <c r="I13" s="40" t="s">
        <v>58</v>
      </c>
      <c r="J13" s="41" t="s">
        <v>59</v>
      </c>
      <c r="K13" s="40">
        <v>-27563</v>
      </c>
      <c r="L13" s="40" t="s">
        <v>60</v>
      </c>
      <c r="M13" s="41" t="s">
        <v>55</v>
      </c>
      <c r="N13" s="41"/>
      <c r="O13" s="42" t="s">
        <v>56</v>
      </c>
      <c r="P13" s="42" t="s">
        <v>57</v>
      </c>
    </row>
    <row r="14" spans="1:16" ht="12.75" customHeight="1" thickBot="1" x14ac:dyDescent="0.25">
      <c r="A14" s="30" t="str">
        <f t="shared" si="0"/>
        <v> BBS 67 </v>
      </c>
      <c r="B14" s="3" t="str">
        <f t="shared" si="1"/>
        <v>I</v>
      </c>
      <c r="C14" s="30">
        <f t="shared" si="2"/>
        <v>45531.508000000002</v>
      </c>
      <c r="D14" s="14" t="str">
        <f t="shared" si="3"/>
        <v>vis</v>
      </c>
      <c r="E14" s="39">
        <f>VLOOKUP(C14,Active!C$21:E$973,3,FALSE)</f>
        <v>-19983.335643888779</v>
      </c>
      <c r="F14" s="3" t="s">
        <v>50</v>
      </c>
      <c r="G14" s="14" t="str">
        <f t="shared" si="4"/>
        <v>45531.508</v>
      </c>
      <c r="H14" s="30">
        <f t="shared" si="5"/>
        <v>-27557</v>
      </c>
      <c r="I14" s="40" t="s">
        <v>61</v>
      </c>
      <c r="J14" s="41" t="s">
        <v>62</v>
      </c>
      <c r="K14" s="40">
        <v>-27557</v>
      </c>
      <c r="L14" s="40" t="s">
        <v>63</v>
      </c>
      <c r="M14" s="41" t="s">
        <v>55</v>
      </c>
      <c r="N14" s="41"/>
      <c r="O14" s="42" t="s">
        <v>56</v>
      </c>
      <c r="P14" s="42" t="s">
        <v>57</v>
      </c>
    </row>
    <row r="15" spans="1:16" ht="12.75" customHeight="1" thickBot="1" x14ac:dyDescent="0.25">
      <c r="A15" s="30" t="str">
        <f t="shared" si="0"/>
        <v> BBS 67 </v>
      </c>
      <c r="B15" s="3" t="str">
        <f t="shared" si="1"/>
        <v>I</v>
      </c>
      <c r="C15" s="30">
        <f t="shared" si="2"/>
        <v>45547.419000000002</v>
      </c>
      <c r="D15" s="14" t="str">
        <f t="shared" si="3"/>
        <v>vis</v>
      </c>
      <c r="E15" s="39">
        <f>VLOOKUP(C15,Active!C$21:E$973,3,FALSE)</f>
        <v>-19933.203942227698</v>
      </c>
      <c r="F15" s="3" t="s">
        <v>50</v>
      </c>
      <c r="G15" s="14" t="str">
        <f t="shared" si="4"/>
        <v>45547.419</v>
      </c>
      <c r="H15" s="30">
        <f t="shared" si="5"/>
        <v>-27507</v>
      </c>
      <c r="I15" s="40" t="s">
        <v>64</v>
      </c>
      <c r="J15" s="41" t="s">
        <v>65</v>
      </c>
      <c r="K15" s="40">
        <v>-27507</v>
      </c>
      <c r="L15" s="40" t="s">
        <v>66</v>
      </c>
      <c r="M15" s="41" t="s">
        <v>55</v>
      </c>
      <c r="N15" s="41"/>
      <c r="O15" s="42" t="s">
        <v>67</v>
      </c>
      <c r="P15" s="42" t="s">
        <v>57</v>
      </c>
    </row>
    <row r="16" spans="1:16" ht="12.75" customHeight="1" thickBot="1" x14ac:dyDescent="0.25">
      <c r="A16" s="30" t="str">
        <f t="shared" si="0"/>
        <v> BBS 67 </v>
      </c>
      <c r="B16" s="3" t="str">
        <f t="shared" si="1"/>
        <v>I</v>
      </c>
      <c r="C16" s="30">
        <f t="shared" si="2"/>
        <v>45547.421999999999</v>
      </c>
      <c r="D16" s="14" t="str">
        <f t="shared" si="3"/>
        <v>vis</v>
      </c>
      <c r="E16" s="39">
        <f>VLOOKUP(C16,Active!C$21:E$973,3,FALSE)</f>
        <v>-19933.194489955382</v>
      </c>
      <c r="F16" s="3" t="s">
        <v>50</v>
      </c>
      <c r="G16" s="14" t="str">
        <f t="shared" si="4"/>
        <v>45547.422</v>
      </c>
      <c r="H16" s="30">
        <f t="shared" si="5"/>
        <v>-27507</v>
      </c>
      <c r="I16" s="40" t="s">
        <v>68</v>
      </c>
      <c r="J16" s="41" t="s">
        <v>69</v>
      </c>
      <c r="K16" s="40">
        <v>-27507</v>
      </c>
      <c r="L16" s="40" t="s">
        <v>70</v>
      </c>
      <c r="M16" s="41" t="s">
        <v>55</v>
      </c>
      <c r="N16" s="41"/>
      <c r="O16" s="42" t="s">
        <v>56</v>
      </c>
      <c r="P16" s="42" t="s">
        <v>57</v>
      </c>
    </row>
    <row r="17" spans="1:16" ht="12.75" customHeight="1" thickBot="1" x14ac:dyDescent="0.25">
      <c r="A17" s="30" t="str">
        <f t="shared" si="0"/>
        <v> BBS 67 </v>
      </c>
      <c r="B17" s="3" t="str">
        <f t="shared" si="1"/>
        <v>I</v>
      </c>
      <c r="C17" s="30">
        <f t="shared" si="2"/>
        <v>45547.428999999996</v>
      </c>
      <c r="D17" s="14" t="str">
        <f t="shared" si="3"/>
        <v>vis</v>
      </c>
      <c r="E17" s="39">
        <f>VLOOKUP(C17,Active!C$21:E$973,3,FALSE)</f>
        <v>-19933.172434653294</v>
      </c>
      <c r="F17" s="3" t="s">
        <v>50</v>
      </c>
      <c r="G17" s="14" t="str">
        <f t="shared" si="4"/>
        <v>45547.429</v>
      </c>
      <c r="H17" s="30">
        <f t="shared" si="5"/>
        <v>-27507</v>
      </c>
      <c r="I17" s="40" t="s">
        <v>71</v>
      </c>
      <c r="J17" s="41" t="s">
        <v>72</v>
      </c>
      <c r="K17" s="40">
        <v>-27507</v>
      </c>
      <c r="L17" s="40" t="s">
        <v>73</v>
      </c>
      <c r="M17" s="41" t="s">
        <v>55</v>
      </c>
      <c r="N17" s="41"/>
      <c r="O17" s="42" t="s">
        <v>56</v>
      </c>
      <c r="P17" s="42" t="s">
        <v>57</v>
      </c>
    </row>
    <row r="18" spans="1:16" ht="12.75" customHeight="1" thickBot="1" x14ac:dyDescent="0.25">
      <c r="A18" s="30" t="str">
        <f t="shared" si="0"/>
        <v> BBS 68 </v>
      </c>
      <c r="B18" s="3" t="str">
        <f t="shared" si="1"/>
        <v>II</v>
      </c>
      <c r="C18" s="30">
        <f t="shared" si="2"/>
        <v>45548.523999999998</v>
      </c>
      <c r="D18" s="14" t="str">
        <f t="shared" si="3"/>
        <v>vis</v>
      </c>
      <c r="E18" s="39">
        <f>VLOOKUP(C18,Active!C$21:E$973,3,FALSE)</f>
        <v>-19929.722355254202</v>
      </c>
      <c r="F18" s="3" t="s">
        <v>50</v>
      </c>
      <c r="G18" s="14" t="str">
        <f t="shared" si="4"/>
        <v>45548.524</v>
      </c>
      <c r="H18" s="30">
        <f t="shared" si="5"/>
        <v>-27503.5</v>
      </c>
      <c r="I18" s="40" t="s">
        <v>74</v>
      </c>
      <c r="J18" s="41" t="s">
        <v>75</v>
      </c>
      <c r="K18" s="40">
        <v>-27503.5</v>
      </c>
      <c r="L18" s="40" t="s">
        <v>76</v>
      </c>
      <c r="M18" s="41" t="s">
        <v>55</v>
      </c>
      <c r="N18" s="41"/>
      <c r="O18" s="42" t="s">
        <v>56</v>
      </c>
      <c r="P18" s="42" t="s">
        <v>77</v>
      </c>
    </row>
    <row r="19" spans="1:16" ht="12.75" customHeight="1" thickBot="1" x14ac:dyDescent="0.25">
      <c r="A19" s="30" t="str">
        <f t="shared" si="0"/>
        <v> BBS 68 </v>
      </c>
      <c r="B19" s="3" t="str">
        <f t="shared" si="1"/>
        <v>I</v>
      </c>
      <c r="C19" s="30">
        <f t="shared" si="2"/>
        <v>45553.408000000003</v>
      </c>
      <c r="D19" s="14" t="str">
        <f t="shared" si="3"/>
        <v>vis</v>
      </c>
      <c r="E19" s="39">
        <f>VLOOKUP(C19,Active!C$21:E$973,3,FALSE)</f>
        <v>-19914.334055907024</v>
      </c>
      <c r="F19" s="3" t="s">
        <v>50</v>
      </c>
      <c r="G19" s="14" t="str">
        <f t="shared" si="4"/>
        <v>45553.408</v>
      </c>
      <c r="H19" s="30">
        <f t="shared" si="5"/>
        <v>-27488</v>
      </c>
      <c r="I19" s="40" t="s">
        <v>78</v>
      </c>
      <c r="J19" s="41" t="s">
        <v>79</v>
      </c>
      <c r="K19" s="40">
        <v>-27488</v>
      </c>
      <c r="L19" s="40" t="s">
        <v>63</v>
      </c>
      <c r="M19" s="41" t="s">
        <v>55</v>
      </c>
      <c r="N19" s="41"/>
      <c r="O19" s="42" t="s">
        <v>56</v>
      </c>
      <c r="P19" s="42" t="s">
        <v>77</v>
      </c>
    </row>
    <row r="20" spans="1:16" ht="12.75" customHeight="1" thickBot="1" x14ac:dyDescent="0.25">
      <c r="A20" s="30" t="str">
        <f t="shared" si="0"/>
        <v> BBS 68 </v>
      </c>
      <c r="B20" s="3" t="str">
        <f t="shared" si="1"/>
        <v>I</v>
      </c>
      <c r="C20" s="30">
        <f t="shared" si="2"/>
        <v>45555.39</v>
      </c>
      <c r="D20" s="14" t="str">
        <f t="shared" si="3"/>
        <v>vis</v>
      </c>
      <c r="E20" s="39">
        <f>VLOOKUP(C20,Active!C$21:E$973,3,FALSE)</f>
        <v>-19908.089254656814</v>
      </c>
      <c r="F20" s="3" t="s">
        <v>50</v>
      </c>
      <c r="G20" s="14" t="str">
        <f t="shared" si="4"/>
        <v>45555.390</v>
      </c>
      <c r="H20" s="30">
        <f t="shared" si="5"/>
        <v>-27482</v>
      </c>
      <c r="I20" s="40" t="s">
        <v>80</v>
      </c>
      <c r="J20" s="41" t="s">
        <v>81</v>
      </c>
      <c r="K20" s="40">
        <v>-27482</v>
      </c>
      <c r="L20" s="40" t="s">
        <v>82</v>
      </c>
      <c r="M20" s="41" t="s">
        <v>55</v>
      </c>
      <c r="N20" s="41"/>
      <c r="O20" s="42" t="s">
        <v>56</v>
      </c>
      <c r="P20" s="42" t="s">
        <v>77</v>
      </c>
    </row>
    <row r="21" spans="1:16" ht="12.75" customHeight="1" thickBot="1" x14ac:dyDescent="0.25">
      <c r="A21" s="30" t="str">
        <f t="shared" si="0"/>
        <v> BBS 68 </v>
      </c>
      <c r="B21" s="3" t="str">
        <f t="shared" si="1"/>
        <v>I</v>
      </c>
      <c r="C21" s="30">
        <f t="shared" si="2"/>
        <v>45565.531999999999</v>
      </c>
      <c r="D21" s="14" t="str">
        <f t="shared" si="3"/>
        <v>vis</v>
      </c>
      <c r="E21" s="39">
        <f>VLOOKUP(C21,Active!C$21:E$973,3,FALSE)</f>
        <v>-19876.134272679148</v>
      </c>
      <c r="F21" s="3" t="s">
        <v>50</v>
      </c>
      <c r="G21" s="14" t="str">
        <f t="shared" si="4"/>
        <v>45565.532</v>
      </c>
      <c r="H21" s="30">
        <f t="shared" si="5"/>
        <v>-27450</v>
      </c>
      <c r="I21" s="40" t="s">
        <v>83</v>
      </c>
      <c r="J21" s="41" t="s">
        <v>84</v>
      </c>
      <c r="K21" s="40">
        <v>-27450</v>
      </c>
      <c r="L21" s="40" t="s">
        <v>85</v>
      </c>
      <c r="M21" s="41" t="s">
        <v>55</v>
      </c>
      <c r="N21" s="41"/>
      <c r="O21" s="42" t="s">
        <v>56</v>
      </c>
      <c r="P21" s="42" t="s">
        <v>77</v>
      </c>
    </row>
    <row r="22" spans="1:16" ht="12.75" customHeight="1" thickBot="1" x14ac:dyDescent="0.25">
      <c r="A22" s="30" t="str">
        <f t="shared" si="0"/>
        <v> BBS 68 </v>
      </c>
      <c r="B22" s="3" t="str">
        <f t="shared" si="1"/>
        <v>I</v>
      </c>
      <c r="C22" s="30">
        <f t="shared" si="2"/>
        <v>45580.336000000003</v>
      </c>
      <c r="D22" s="14" t="str">
        <f t="shared" si="3"/>
        <v>vis</v>
      </c>
      <c r="E22" s="39">
        <f>VLOOKUP(C22,Active!C$21:E$973,3,FALSE)</f>
        <v>-19829.490459506447</v>
      </c>
      <c r="F22" s="3" t="s">
        <v>50</v>
      </c>
      <c r="G22" s="14" t="str">
        <f t="shared" si="4"/>
        <v>45580.336</v>
      </c>
      <c r="H22" s="30">
        <f t="shared" si="5"/>
        <v>-27403</v>
      </c>
      <c r="I22" s="40" t="s">
        <v>86</v>
      </c>
      <c r="J22" s="41" t="s">
        <v>87</v>
      </c>
      <c r="K22" s="40">
        <v>-27403</v>
      </c>
      <c r="L22" s="40" t="s">
        <v>88</v>
      </c>
      <c r="M22" s="41" t="s">
        <v>55</v>
      </c>
      <c r="N22" s="41"/>
      <c r="O22" s="42" t="s">
        <v>56</v>
      </c>
      <c r="P22" s="42" t="s">
        <v>77</v>
      </c>
    </row>
    <row r="23" spans="1:16" ht="12.75" customHeight="1" thickBot="1" x14ac:dyDescent="0.25">
      <c r="A23" s="30" t="str">
        <f t="shared" si="0"/>
        <v> BBS 69 </v>
      </c>
      <c r="B23" s="3" t="str">
        <f t="shared" si="1"/>
        <v>I</v>
      </c>
      <c r="C23" s="30">
        <f t="shared" si="2"/>
        <v>45641.353000000003</v>
      </c>
      <c r="D23" s="14" t="str">
        <f t="shared" si="3"/>
        <v>vis</v>
      </c>
      <c r="E23" s="39">
        <f>VLOOKUP(C23,Active!C$21:E$973,3,FALSE)</f>
        <v>-19637.240692662501</v>
      </c>
      <c r="F23" s="3" t="s">
        <v>50</v>
      </c>
      <c r="G23" s="14" t="str">
        <f t="shared" si="4"/>
        <v>45641.353</v>
      </c>
      <c r="H23" s="30">
        <f t="shared" si="5"/>
        <v>-27211</v>
      </c>
      <c r="I23" s="40" t="s">
        <v>89</v>
      </c>
      <c r="J23" s="41" t="s">
        <v>90</v>
      </c>
      <c r="K23" s="40">
        <v>-27211</v>
      </c>
      <c r="L23" s="40" t="s">
        <v>91</v>
      </c>
      <c r="M23" s="41" t="s">
        <v>55</v>
      </c>
      <c r="N23" s="41"/>
      <c r="O23" s="42" t="s">
        <v>56</v>
      </c>
      <c r="P23" s="42" t="s">
        <v>92</v>
      </c>
    </row>
    <row r="24" spans="1:16" ht="12.75" customHeight="1" thickBot="1" x14ac:dyDescent="0.25">
      <c r="A24" s="30" t="str">
        <f t="shared" si="0"/>
        <v>VSB 48 </v>
      </c>
      <c r="B24" s="3" t="str">
        <f t="shared" si="1"/>
        <v>II</v>
      </c>
      <c r="C24" s="30">
        <f t="shared" si="2"/>
        <v>54700.065699999999</v>
      </c>
      <c r="D24" s="14" t="str">
        <f t="shared" si="3"/>
        <v>vis</v>
      </c>
      <c r="E24" s="39">
        <f>VLOOKUP(C24,Active!C$21:E$973,3,FALSE)</f>
        <v>8904.5657626093362</v>
      </c>
      <c r="F24" s="3" t="s">
        <v>50</v>
      </c>
      <c r="G24" s="14" t="str">
        <f t="shared" si="4"/>
        <v>54700.0657</v>
      </c>
      <c r="H24" s="30">
        <f t="shared" si="5"/>
        <v>1330.5</v>
      </c>
      <c r="I24" s="40" t="s">
        <v>100</v>
      </c>
      <c r="J24" s="41" t="s">
        <v>101</v>
      </c>
      <c r="K24" s="40">
        <v>1330.5</v>
      </c>
      <c r="L24" s="40" t="s">
        <v>102</v>
      </c>
      <c r="M24" s="41" t="s">
        <v>103</v>
      </c>
      <c r="N24" s="41" t="s">
        <v>104</v>
      </c>
      <c r="O24" s="42" t="s">
        <v>105</v>
      </c>
      <c r="P24" s="43" t="s">
        <v>106</v>
      </c>
    </row>
    <row r="25" spans="1:16" ht="12.75" customHeight="1" thickBot="1" x14ac:dyDescent="0.25">
      <c r="A25" s="30" t="str">
        <f t="shared" si="0"/>
        <v>VSB 48 </v>
      </c>
      <c r="B25" s="3" t="str">
        <f t="shared" si="1"/>
        <v>I</v>
      </c>
      <c r="C25" s="30">
        <f t="shared" si="2"/>
        <v>54751.005499999999</v>
      </c>
      <c r="D25" s="14" t="str">
        <f t="shared" si="3"/>
        <v>vis</v>
      </c>
      <c r="E25" s="39">
        <f>VLOOKUP(C25,Active!C$21:E$973,3,FALSE)</f>
        <v>9065.0647165578666</v>
      </c>
      <c r="F25" s="3" t="s">
        <v>50</v>
      </c>
      <c r="G25" s="14" t="str">
        <f t="shared" si="4"/>
        <v>54751.0055</v>
      </c>
      <c r="H25" s="30">
        <f t="shared" si="5"/>
        <v>1491</v>
      </c>
      <c r="I25" s="40" t="s">
        <v>107</v>
      </c>
      <c r="J25" s="41" t="s">
        <v>108</v>
      </c>
      <c r="K25" s="40">
        <v>1491</v>
      </c>
      <c r="L25" s="40" t="s">
        <v>109</v>
      </c>
      <c r="M25" s="41" t="s">
        <v>103</v>
      </c>
      <c r="N25" s="41" t="s">
        <v>104</v>
      </c>
      <c r="O25" s="42" t="s">
        <v>105</v>
      </c>
      <c r="P25" s="43" t="s">
        <v>106</v>
      </c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</sheetData>
  <phoneticPr fontId="8" type="noConversion"/>
  <hyperlinks>
    <hyperlink ref="A3" r:id="rId1"/>
    <hyperlink ref="P11" r:id="rId2" display="http://www.konkoly.hu/cgi-bin/IBVS?5690"/>
    <hyperlink ref="P24" r:id="rId3" display="http://vsolj.cetus-net.org/no48.pdf"/>
    <hyperlink ref="P25" r:id="rId4" display="http://vsolj.cetus-net.org/no48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2024-01-17T03:33:20Z</dcterms:modified>
</cp:coreProperties>
</file>