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41C538C-00E4-4C19-B6CD-F15DE87C27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4" i="1"/>
  <c r="E14" i="1"/>
  <c r="E15" i="1" s="1"/>
  <c r="C17" i="1"/>
  <c r="Q23" i="1"/>
  <c r="Q22" i="1"/>
  <c r="C8" i="1"/>
  <c r="C7" i="1"/>
  <c r="E24" i="1"/>
  <c r="F24" i="1"/>
  <c r="Q21" i="1"/>
  <c r="E22" i="1"/>
  <c r="F22" i="1"/>
  <c r="G22" i="1"/>
  <c r="E23" i="1"/>
  <c r="F23" i="1"/>
  <c r="G23" i="1"/>
  <c r="J23" i="1"/>
  <c r="E21" i="1"/>
  <c r="F21" i="1"/>
  <c r="G21" i="1"/>
  <c r="H21" i="1"/>
  <c r="G24" i="1"/>
  <c r="J24" i="1"/>
  <c r="I22" i="1"/>
  <c r="C11" i="1"/>
  <c r="C12" i="1"/>
  <c r="C16" i="1" l="1"/>
  <c r="D18" i="1" s="1"/>
  <c r="C15" i="1"/>
  <c r="O24" i="1"/>
  <c r="O22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<sst xmlns="http://schemas.openxmlformats.org/spreadsheetml/2006/main" count="51" uniqueCount="49">
  <si>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</si>
  <si>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</si>
  <si>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</si>
  <si>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</si>
  <si>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</si>
  <si>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</si>
  <si>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</si>
  <si>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</si>
  <si>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</si>
  <si>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</si>
  <si>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</si>
  <si>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</si>
  <si>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</si>
  <si>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</si>
  <si>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</si>
  <si>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</si>
  <si>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</si>
  <si>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</si>
  <si>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</si>
  <si>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</si>
  <si>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</si>
  <si>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</si>
  <si>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</si>
  <si>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</si>
  <si>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</si>
  <si>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</si>
  <si>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</si>
  <si>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</si>
  <si>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</si>
  <si>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Bull.17</t>
  </si>
  <si>
    <t>B</t>
  </si>
  <si>
    <t>BBSAG</t>
  </si>
  <si>
    <t>VS Bulletin 40</t>
  </si>
  <si>
    <t>VS Bull</t>
  </si>
  <si>
    <t>WZ Cap / gsc 6360-0205</t>
  </si>
  <si>
    <t>EW/KW</t>
  </si>
  <si>
    <t># of data points:</t>
  </si>
  <si>
    <t>IBVS 6011</t>
  </si>
  <si>
    <t>II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</si>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</sst>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Cap - O-C Diagr.</a:t>
            </a:r>
          </a:p>
        </c:rich>
      </c:tx>
      <c:layout>
        <c:manualLayout>
          <c:xMode val="edge"/>
          <c:yMode val="edge"/>
          <c:x val="0.3647474955682895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8751582869054"/>
          <c:y val="0.15"/>
          <c:w val="0.7905772636092652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4C-4A85-AF9E-6B802A3C25E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-5.6330000079469755E-3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4C-4A85-AF9E-6B802A3C25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 Bull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5.5452999877161346E-2</c:v>
                </c:pt>
                <c:pt idx="3">
                  <c:v>7.3958000000857282E-2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4C-4A85-AF9E-6B802A3C25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4C-4A85-AF9E-6B802A3C25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4C-4A85-AF9E-6B802A3C25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4C-4A85-AF9E-6B802A3C25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4C-4A85-AF9E-6B802A3C25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53815.5</c:v>
                </c:pt>
                <c:pt idx="2">
                  <c:v>86664.5</c:v>
                </c:pt>
                <c:pt idx="3">
                  <c:v>97197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-0.10456531425988475</c:v>
                </c:pt>
                <c:pt idx="1">
                  <c:v>-5.5112242105054693E-3</c:v>
                </c:pt>
                <c:pt idx="2">
                  <c:v>5.4951426959363059E-2</c:v>
                </c:pt>
                <c:pt idx="3">
                  <c:v>7.4337797121213967E-2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4C-4A85-AF9E-6B802A3C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9080"/>
        <c:axId val="1"/>
      </c:scatterChart>
      <c:valAx>
        <c:axId val="68511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1592484185557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56020942408377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9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89023557919133"/>
          <c:y val="0.91874999999999996"/>
          <c:w val="0.8429334029581380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333375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EACCE0-33D6-3672-6DBC-5A9B45432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34</v>
      </c>
    </row>
    <row r="2" spans="1:7">
      <c r="A2" t="s">
        <v>24</v>
      </c>
      <c r="B2" s="10" t="s">
        <v>35</v>
      </c>
    </row>
    <row r="4" spans="1:7">
      <c r="A4" s="6" t="s">
        <v>0</v>
      </c>
      <c r="C4" s="3">
        <v>25424.58</v>
      </c>
      <c r="D4" s="4">
        <v>0.31308599999999998</v>
      </c>
    </row>
    <row r="6" spans="1:7">
      <c r="A6" s="6" t="s">
        <v>1</v>
      </c>
    </row>
    <row r="7" spans="1:7">
      <c r="A7" t="s">
        <v>2</v>
      </c>
      <c r="C7">
        <f>+C4</f>
        <v>25424.58</v>
      </c>
    </row>
    <row r="8" spans="1:7">
      <c r="A8" t="s">
        <v>3</v>
      </c>
      <c r="C8">
        <f>+D4</f>
        <v>0.31308599999999998</v>
      </c>
    </row>
    <row r="9" spans="1:7">
      <c r="A9" s="15" t="s">
        <v>39</v>
      </c>
      <c r="B9" s="9"/>
      <c r="C9" s="16">
        <v>-9.5</v>
      </c>
      <c r="D9" s="9" t="s">
        <v>40</v>
      </c>
      <c r="E9" s="9"/>
    </row>
    <row r="10" spans="1:7" ht="13.5" thickBot="1">
      <c r="A10" s="9"/>
      <c r="B10" s="9"/>
      <c r="C10" s="5" t="s">
        <v>20</v>
      </c>
      <c r="D10" s="5" t="s">
        <v>21</v>
      </c>
      <c r="E10" s="9"/>
    </row>
    <row r="11" spans="1:7">
      <c r="A11" s="9" t="s">
        <v>16</v>
      </c>
      <c r="B11" s="9"/>
      <c r="C11" s="17">
        <f ca="1">INTERCEPT(INDIRECT($G$11):G992,INDIRECT($F$11):F992)</f>
        <v>-0.10456531425988475</v>
      </c>
      <c r="D11" s="18"/>
      <c r="E11" s="9"/>
      <c r="F11" s="19" t="str">
        <f>"F"&amp;E19</f>
        <v>F22</v>
      </c>
      <c r="G11" s="20" t="str">
        <f>"G"&amp;E19</f>
        <v>G22</v>
      </c>
    </row>
    <row r="12" spans="1:7">
      <c r="A12" s="9" t="s">
        <v>17</v>
      </c>
      <c r="B12" s="9"/>
      <c r="C12" s="17">
        <f ca="1">SLOPE(INDIRECT($G$11):G992,INDIRECT($F$11):F992)</f>
        <v>1.8406237988939856E-6</v>
      </c>
      <c r="D12" s="18"/>
      <c r="E12" s="9"/>
    </row>
    <row r="13" spans="1:7">
      <c r="A13" s="9" t="s">
        <v>19</v>
      </c>
      <c r="B13" s="9"/>
      <c r="C13" s="18" t="s">
        <v>14</v>
      </c>
      <c r="D13" s="21" t="s">
        <v>41</v>
      </c>
      <c r="E13" s="16">
        <v>1</v>
      </c>
    </row>
    <row r="14" spans="1:7">
      <c r="A14" s="9"/>
      <c r="B14" s="9"/>
      <c r="C14" s="9"/>
      <c r="D14" s="21" t="s">
        <v>42</v>
      </c>
      <c r="E14" s="22">
        <f ca="1">NOW()+15018.5+$C$9/24</f>
        <v>60326.698054282402</v>
      </c>
    </row>
    <row r="15" spans="1:7">
      <c r="A15" s="23" t="s">
        <v>18</v>
      </c>
      <c r="B15" s="9"/>
      <c r="C15" s="24">
        <f ca="1">(C7+C11)+(C8+C12)*INT(MAX(F21:F3533))</f>
        <v>55855.674279797116</v>
      </c>
      <c r="D15" s="21" t="s">
        <v>43</v>
      </c>
      <c r="E15" s="22">
        <f ca="1">ROUND(2*(E14-$C$7)/$C$8,0)/2+E13</f>
        <v>111478.5</v>
      </c>
    </row>
    <row r="16" spans="1:7">
      <c r="A16" s="25" t="s">
        <v>4</v>
      </c>
      <c r="B16" s="9"/>
      <c r="C16" s="26">
        <f ca="1">+C8+C12</f>
        <v>0.31308784062379885</v>
      </c>
      <c r="D16" s="21" t="s">
        <v>44</v>
      </c>
      <c r="E16" s="20">
        <f ca="1">ROUND(2*(E14-$C$15)/$C$16,0)/2+E13</f>
        <v>14281.5</v>
      </c>
    </row>
    <row r="17" spans="1:30" ht="13.5" thickBot="1">
      <c r="A17" s="21" t="s">
        <v>36</v>
      </c>
      <c r="B17" s="9"/>
      <c r="C17" s="9">
        <f>COUNT(C21:C2191)</f>
        <v>4</v>
      </c>
      <c r="D17" s="21" t="s">
        <v>45</v>
      </c>
      <c r="E17" s="27">
        <f ca="1">+$C$15+$C$16*E16-15018.5-$C$9/24</f>
        <v>45308.934108999238</v>
      </c>
    </row>
    <row r="18" spans="1:30">
      <c r="A18" s="25" t="s">
        <v>5</v>
      </c>
      <c r="B18" s="9"/>
      <c r="C18" s="28">
        <f ca="1">+C15</f>
        <v>55855.674279797116</v>
      </c>
      <c r="D18" s="29">
        <f ca="1">+C16</f>
        <v>0.31308784062379885</v>
      </c>
      <c r="E18" s="30" t="s">
        <v>46</v>
      </c>
    </row>
    <row r="19" spans="1:30" ht="13.5" thickTop="1">
      <c r="A19" s="31" t="s">
        <v>47</v>
      </c>
      <c r="E19" s="32">
        <v>22</v>
      </c>
    </row>
    <row r="20" spans="1:30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31</v>
      </c>
      <c r="J20" s="8" t="s">
        <v>33</v>
      </c>
      <c r="K20" s="8" t="s">
        <v>48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0">
      <c r="A21" t="s">
        <v>12</v>
      </c>
      <c r="C21" s="11">
        <v>25424.58</v>
      </c>
      <c r="D21" s="1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G21</f>
        <v>0</v>
      </c>
      <c r="O21">
        <f ca="1">+C$11+C$12*$F21</f>
        <v>-0.10456531425988475</v>
      </c>
      <c r="Q21" s="2">
        <f>+C21-15018.5</f>
        <v>10406.080000000002</v>
      </c>
    </row>
    <row r="22" spans="1:30">
      <c r="A22" t="s">
        <v>29</v>
      </c>
      <c r="C22" s="12">
        <v>42273.453999999998</v>
      </c>
      <c r="D22" s="11"/>
      <c r="E22">
        <f>+(C22-C$7)/C$8</f>
        <v>53815.48200813833</v>
      </c>
      <c r="F22">
        <f>ROUND(2*E22,0)/2</f>
        <v>53815.5</v>
      </c>
      <c r="G22">
        <f>+C22-(C$7+F22*C$8)</f>
        <v>-5.6330000079469755E-3</v>
      </c>
      <c r="I22">
        <f>G22</f>
        <v>-5.6330000079469755E-3</v>
      </c>
      <c r="O22">
        <f ca="1">+C$11+C$12*$F22</f>
        <v>-5.5112242105054693E-3</v>
      </c>
      <c r="Q22" s="2">
        <f>+C22-15018.5</f>
        <v>27254.953999999998</v>
      </c>
      <c r="AA22">
        <v>5</v>
      </c>
      <c r="AB22" t="s">
        <v>28</v>
      </c>
      <c r="AD22" t="s">
        <v>30</v>
      </c>
    </row>
    <row r="23" spans="1:30">
      <c r="A23" s="9" t="s">
        <v>32</v>
      </c>
      <c r="B23" s="9"/>
      <c r="C23" s="11">
        <v>52558.077099999879</v>
      </c>
      <c r="D23" s="11"/>
      <c r="E23">
        <f>+(C23-C$7)/C$8</f>
        <v>86664.677117468935</v>
      </c>
      <c r="F23">
        <f>ROUND(2*E23,0)/2</f>
        <v>86664.5</v>
      </c>
      <c r="G23">
        <f>+C23-(C$7+F23*C$8)</f>
        <v>5.5452999877161346E-2</v>
      </c>
      <c r="J23">
        <f>G23</f>
        <v>5.5452999877161346E-2</v>
      </c>
      <c r="O23">
        <f ca="1">+C$11+C$12*$F23</f>
        <v>5.4951426959363059E-2</v>
      </c>
      <c r="Q23" s="2">
        <f>+C23-15018.5</f>
        <v>37539.577099999879</v>
      </c>
    </row>
    <row r="24" spans="1:30">
      <c r="A24" s="13" t="s">
        <v>37</v>
      </c>
      <c r="B24" s="14" t="s">
        <v>38</v>
      </c>
      <c r="C24" s="13">
        <v>55855.673900000002</v>
      </c>
      <c r="D24" s="13">
        <v>5.9999999999999995E-4</v>
      </c>
      <c r="E24">
        <f>+(C24-C$7)/C$8</f>
        <v>97197.236222635314</v>
      </c>
      <c r="F24">
        <f>ROUND(2*E24,0)/2</f>
        <v>97197</v>
      </c>
      <c r="G24">
        <f>+C24-(C$7+F24*C$8)</f>
        <v>7.3958000000857282E-2</v>
      </c>
      <c r="J24">
        <f>G24</f>
        <v>7.3958000000857282E-2</v>
      </c>
      <c r="O24">
        <f ca="1">+C$11+C$12*$F24</f>
        <v>7.4337797121213967E-2</v>
      </c>
      <c r="Q24" s="2">
        <f>+C24-15018.5</f>
        <v>40837.173900000002</v>
      </c>
    </row>
    <row r="25" spans="1:30">
      <c r="C25" s="11"/>
      <c r="D25" s="11"/>
      <c r="Q25" s="2"/>
    </row>
    <row r="26" spans="1:30">
      <c r="C26" s="11"/>
      <c r="D26" s="11"/>
      <c r="Q26" s="2"/>
    </row>
    <row r="27" spans="1:30">
      <c r="C27" s="11"/>
      <c r="D27" s="11"/>
      <c r="Q27" s="2"/>
    </row>
    <row r="28" spans="1:30">
      <c r="C28" s="11"/>
      <c r="D28" s="11"/>
    </row>
    <row r="29" spans="1:30">
      <c r="C29" s="11"/>
      <c r="D29" s="11"/>
    </row>
    <row r="30" spans="1:30">
      <c r="C30" s="11"/>
      <c r="D30" s="11"/>
    </row>
    <row r="31" spans="1:30">
      <c r="C31" s="11"/>
      <c r="D31" s="11"/>
    </row>
    <row r="32" spans="1:30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C40" s="11"/>
      <c r="D40" s="11"/>
    </row>
    <row r="41" spans="3:4">
      <c r="C41" s="11"/>
      <c r="D41" s="11"/>
    </row>
    <row r="42" spans="3:4">
      <c r="C42" s="11"/>
      <c r="D42" s="11"/>
    </row>
    <row r="43" spans="3:4">
      <c r="C43" s="11"/>
      <c r="D43" s="11"/>
    </row>
    <row r="44" spans="3:4">
      <c r="C44" s="11"/>
      <c r="D44" s="11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2024-01-17T03:45:11Z</dcterms:modified>
</cp:coreProperties>
</file>