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32A151F-F688-4E68-A7C8-41B510861F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9" i="1" l="1"/>
  <c r="Q30" i="1"/>
  <c r="Q31" i="1"/>
  <c r="D9" i="1"/>
  <c r="C9" i="1"/>
  <c r="Q22" i="1"/>
  <c r="Q23" i="1"/>
  <c r="Q28" i="1"/>
  <c r="G17" i="2"/>
  <c r="C17" i="2"/>
  <c r="G14" i="2"/>
  <c r="C14" i="2"/>
  <c r="G13" i="2"/>
  <c r="C13" i="2"/>
  <c r="G12" i="2"/>
  <c r="C12" i="2"/>
  <c r="G11" i="2"/>
  <c r="C11" i="2"/>
  <c r="G16" i="2"/>
  <c r="C16" i="2"/>
  <c r="G15" i="2"/>
  <c r="C15" i="2"/>
  <c r="H17" i="2"/>
  <c r="D17" i="2"/>
  <c r="B17" i="2"/>
  <c r="A1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6" i="2"/>
  <c r="B16" i="2"/>
  <c r="D16" i="2"/>
  <c r="A16" i="2"/>
  <c r="H15" i="2"/>
  <c r="D15" i="2"/>
  <c r="B15" i="2"/>
  <c r="A15" i="2"/>
  <c r="F16" i="1"/>
  <c r="F17" i="1" s="1"/>
  <c r="C17" i="1"/>
  <c r="Q26" i="1"/>
  <c r="Q27" i="1"/>
  <c r="Q25" i="1"/>
  <c r="Q24" i="1"/>
  <c r="C7" i="1"/>
  <c r="E29" i="1"/>
  <c r="F29" i="1"/>
  <c r="C8" i="1"/>
  <c r="Q21" i="1"/>
  <c r="E16" i="2"/>
  <c r="E23" i="1"/>
  <c r="F23" i="1"/>
  <c r="E26" i="1"/>
  <c r="F26" i="1"/>
  <c r="G26" i="1"/>
  <c r="J26" i="1"/>
  <c r="E31" i="1"/>
  <c r="F31" i="1"/>
  <c r="G31" i="1"/>
  <c r="K31" i="1"/>
  <c r="E21" i="1"/>
  <c r="F21" i="1"/>
  <c r="G21" i="1"/>
  <c r="G28" i="1"/>
  <c r="K28" i="1"/>
  <c r="G27" i="1"/>
  <c r="K27" i="1"/>
  <c r="E25" i="1"/>
  <c r="F25" i="1"/>
  <c r="G25" i="1"/>
  <c r="K25" i="1"/>
  <c r="E22" i="1"/>
  <c r="E30" i="1"/>
  <c r="F30" i="1"/>
  <c r="G30" i="1"/>
  <c r="K30" i="1"/>
  <c r="G24" i="1"/>
  <c r="J24" i="1"/>
  <c r="E28" i="1"/>
  <c r="F28" i="1"/>
  <c r="E27" i="1"/>
  <c r="F27" i="1"/>
  <c r="G23" i="1"/>
  <c r="I23" i="1"/>
  <c r="G29" i="1"/>
  <c r="K29" i="1"/>
  <c r="E24" i="1"/>
  <c r="F24" i="1"/>
  <c r="H21" i="1"/>
  <c r="E17" i="2"/>
  <c r="E14" i="2"/>
  <c r="E13" i="2"/>
  <c r="E15" i="2"/>
  <c r="F22" i="1"/>
  <c r="G22" i="1"/>
  <c r="E12" i="2"/>
  <c r="E11" i="2"/>
  <c r="I22" i="1"/>
  <c r="C12" i="1"/>
  <c r="C11" i="1"/>
  <c r="O31" i="1" l="1"/>
  <c r="O22" i="1"/>
  <c r="O23" i="1"/>
  <c r="O21" i="1"/>
  <c r="O26" i="1"/>
  <c r="O30" i="1"/>
  <c r="O25" i="1"/>
  <c r="O29" i="1"/>
  <c r="C15" i="1"/>
  <c r="F18" i="1" s="1"/>
  <c r="O24" i="1"/>
  <c r="O28" i="1"/>
  <c r="O27" i="1"/>
  <c r="C16" i="1"/>
  <c r="D18" i="1" s="1"/>
  <c r="F19" i="1" l="1"/>
  <c r="C18" i="1"/>
</calcChain>
</file>

<file path=xl/sharedStrings.xml><?xml version="1.0" encoding="utf-8"?>
<sst xmlns="http://schemas.openxmlformats.org/spreadsheetml/2006/main" count="131" uniqueCount="93">
  <si>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</si>
  <si>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</si>
  <si>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</si>
  <si>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</si>
  <si>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</si>
  <si>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</si>
  <si>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</si>
  <si>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</si>
  <si>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</si>
  <si>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</si>
  <si>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</si>
  <si>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</si>
  <si>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</si>
  <si>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</si>
  <si>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</si>
  <si>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</si>
  <si>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</si>
  <si>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</si>
  <si>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</si>
  <si>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</si>
  <si>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</si>
  <si>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</si>
  <si>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</si>
  <si>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</si>
  <si>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</si>
  <si>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</si>
  <si>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</si>
  <si>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</si>
  <si>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</si>
  <si>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AT Cas / gsc 4020-0501?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</si>
  <si>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</si>
  <si>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</si>
  <si>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</si>
  <si>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</si>
  <si>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</si>
  <si>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</si>
  <si>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</si>
  <si>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</si>
  <si>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</si>
  <si>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</t>
  </si>
  <si>
    <t>IBVS 5918</t>
  </si>
  <si>
    <t>IBVS 6011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</si>
  <si>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</si>
  <si>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</si>
  <si>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</si>
  <si>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</si>
  <si>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</si>
  <si>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</si>
  <si>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</si>
  <si>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</si>
  <si>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</si>
  <si>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</si>
  <si>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</si>
  <si>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</si>
  <si>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</si>
  <si>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2452144.521 </t>
  </si>
  <si>
    <t> 23.08.2001 00:30 </t>
  </si>
  <si>
    <t> -0.075 </t>
  </si>
  <si>
    <t>E </t>
  </si>
  <si>
    <t> R.Diethelm </t>
  </si>
  <si>
    <t> BBS 126 </t>
  </si>
  <si>
    <t>2452503.5200 </t>
  </si>
  <si>
    <t> 17.08.2002 00:28 </t>
  </si>
  <si>
    <t> -0.0766 </t>
  </si>
  <si>
    <t> BBS 128 </t>
  </si>
  <si>
    <t>2453660.2965 </t>
  </si>
  <si>
    <t> 16.10.2005 19:06 </t>
  </si>
  <si>
    <t> -0.0790 </t>
  </si>
  <si>
    <t>C </t>
  </si>
  <si>
    <t> Agerer </t>
  </si>
  <si>
    <t>BAVM 178 </t>
  </si>
  <si>
    <t>2454762.8238 </t>
  </si>
  <si>
    <t> 23.10.2008 07:46 </t>
  </si>
  <si>
    <t>17313</t>
  </si>
  <si>
    <t> -0.0815 </t>
  </si>
  <si>
    <t>IBVS 5871 </t>
  </si>
  <si>
    <t>2454847.3859 </t>
  </si>
  <si>
    <t> 15.01.2009 21:15 </t>
  </si>
  <si>
    <t>17366</t>
  </si>
  <si>
    <t> -0.0840 </t>
  </si>
  <si>
    <t> F.Agerer </t>
  </si>
  <si>
    <t>BAVM 209 </t>
  </si>
  <si>
    <t>2455847.8021 </t>
  </si>
  <si>
    <t> 13.10.2011 07:15 </t>
  </si>
  <si>
    <t>17993</t>
  </si>
  <si>
    <t> -0.0820 </t>
  </si>
  <si>
    <t>IBVS 6011 </t>
  </si>
  <si>
    <t>2455857.3723 </t>
  </si>
  <si>
    <t> 22.10.2011 20:56 </t>
  </si>
  <si>
    <t>17999</t>
  </si>
  <si>
    <t> -0.0851 </t>
  </si>
  <si>
    <t>BAVM 225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</si>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</sst>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Cas - O-C Diagr.</a:t>
            </a:r>
          </a:p>
        </c:rich>
      </c:tx>
      <c:layout>
        <c:manualLayout>
          <c:xMode val="edge"/>
          <c:yMode val="edge"/>
          <c:x val="0.3878160623681326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C-4CDC-8D13-52FF709A93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-7.5303999990865123E-2</c:v>
                </c:pt>
                <c:pt idx="2">
                  <c:v>-7.6628999995591585E-2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C-4CDC-8D13-52FF709A93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-7.8953999996883795E-2</c:v>
                </c:pt>
                <c:pt idx="5">
                  <c:v>-8.3961999996972736E-2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C-4CDC-8D13-52FF709A93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-8.1540999999560881E-2</c:v>
                </c:pt>
                <c:pt idx="6">
                  <c:v>-8.2000999995216262E-2</c:v>
                </c:pt>
                <c:pt idx="7">
                  <c:v>-8.5142999989329837E-2</c:v>
                </c:pt>
                <c:pt idx="8">
                  <c:v>-9.0988000003562775E-2</c:v>
                </c:pt>
                <c:pt idx="9">
                  <c:v>-9.0797999997448642E-2</c:v>
                </c:pt>
                <c:pt idx="10">
                  <c:v>-8.9097999996738508E-2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C-4CDC-8D13-52FF709A93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C-4CDC-8D13-52FF709A93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C-4CDC-8D13-52FF709A93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C-4CDC-8D13-52FF709A93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-1.7773938109505449E-6</c:v>
                </c:pt>
                <c:pt idx="1">
                  <c:v>-7.4762474004335402E-2</c:v>
                </c:pt>
                <c:pt idx="2">
                  <c:v>-7.5835799472518658E-2</c:v>
                </c:pt>
                <c:pt idx="3">
                  <c:v>-7.9294292647775808E-2</c:v>
                </c:pt>
                <c:pt idx="4">
                  <c:v>-8.2590594418951946E-2</c:v>
                </c:pt>
                <c:pt idx="5">
                  <c:v>-8.2843422195901781E-2</c:v>
                </c:pt>
                <c:pt idx="6">
                  <c:v>-8.5834422500572452E-2</c:v>
                </c:pt>
                <c:pt idx="7">
                  <c:v>-8.5863044513057346E-2</c:v>
                </c:pt>
                <c:pt idx="8">
                  <c:v>-8.913072427174859E-2</c:v>
                </c:pt>
                <c:pt idx="9">
                  <c:v>-8.913072427174859E-2</c:v>
                </c:pt>
                <c:pt idx="10">
                  <c:v>-8.913072427174859E-2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3C-4CDC-8D13-52FF709A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470864"/>
        <c:axId val="1"/>
      </c:scatterChart>
      <c:valAx>
        <c:axId val="523470864"/>
        <c:scaling>
          <c:orientation val="minMax"/>
          <c:max val="20000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47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0045317515101"/>
          <c:y val="0.92073298764483702"/>
          <c:w val="0.621100022229762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Cas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3-4633-B31F-70C4BAB9E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-7.5303999990865123E-2</c:v>
                </c:pt>
                <c:pt idx="2">
                  <c:v>-7.6628999995591585E-2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3-4633-B31F-70C4BAB9E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-7.8953999996883795E-2</c:v>
                </c:pt>
                <c:pt idx="5">
                  <c:v>-8.3961999996972736E-2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3-4633-B31F-70C4BAB9E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-8.1540999999560881E-2</c:v>
                </c:pt>
                <c:pt idx="6">
                  <c:v>-8.2000999995216262E-2</c:v>
                </c:pt>
                <c:pt idx="7">
                  <c:v>-8.5142999989329837E-2</c:v>
                </c:pt>
                <c:pt idx="8">
                  <c:v>-9.0988000003562775E-2</c:v>
                </c:pt>
                <c:pt idx="9">
                  <c:v>-9.0797999997448642E-2</c:v>
                </c:pt>
                <c:pt idx="10">
                  <c:v>-8.9097999996738508E-2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3-4633-B31F-70C4BAB9E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3-4633-B31F-70C4BAB9E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3-4633-B31F-70C4BAB9E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4.0000000000000002E-4</c:v>
                  </c:pt>
                  <c:pt idx="5">
                    <c:v>3.5000000000000001E-3</c:v>
                  </c:pt>
                  <c:pt idx="6">
                    <c:v>4.0000000000000002E-4</c:v>
                  </c:pt>
                  <c:pt idx="7">
                    <c:v>0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3-4633-B31F-70C4BAB9E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15672</c:v>
                </c:pt>
                <c:pt idx="2">
                  <c:v>15897</c:v>
                </c:pt>
                <c:pt idx="3">
                  <c:v>16622</c:v>
                </c:pt>
                <c:pt idx="4">
                  <c:v>17313</c:v>
                </c:pt>
                <c:pt idx="5">
                  <c:v>17366</c:v>
                </c:pt>
                <c:pt idx="6">
                  <c:v>17993</c:v>
                </c:pt>
                <c:pt idx="7">
                  <c:v>17999</c:v>
                </c:pt>
                <c:pt idx="8">
                  <c:v>18684</c:v>
                </c:pt>
                <c:pt idx="9">
                  <c:v>18684</c:v>
                </c:pt>
                <c:pt idx="10">
                  <c:v>18684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-1.7773938109505449E-6</c:v>
                </c:pt>
                <c:pt idx="1">
                  <c:v>-7.4762474004335402E-2</c:v>
                </c:pt>
                <c:pt idx="2">
                  <c:v>-7.5835799472518658E-2</c:v>
                </c:pt>
                <c:pt idx="3">
                  <c:v>-7.9294292647775808E-2</c:v>
                </c:pt>
                <c:pt idx="4">
                  <c:v>-8.2590594418951946E-2</c:v>
                </c:pt>
                <c:pt idx="5">
                  <c:v>-8.2843422195901781E-2</c:v>
                </c:pt>
                <c:pt idx="6">
                  <c:v>-8.5834422500572452E-2</c:v>
                </c:pt>
                <c:pt idx="7">
                  <c:v>-8.5863044513057346E-2</c:v>
                </c:pt>
                <c:pt idx="8">
                  <c:v>-8.913072427174859E-2</c:v>
                </c:pt>
                <c:pt idx="9">
                  <c:v>-8.913072427174859E-2</c:v>
                </c:pt>
                <c:pt idx="10">
                  <c:v>-8.913072427174859E-2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3-4633-B31F-70C4BAB9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22464"/>
        <c:axId val="1"/>
      </c:scatterChart>
      <c:valAx>
        <c:axId val="55542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42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B218C58-7B57-136E-6286-EDB565F16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457199</xdr:colOff>
      <xdr:row>0</xdr:row>
      <xdr:rowOff>0</xdr:rowOff>
    </xdr:from>
    <xdr:to>
      <xdr:col>27</xdr:col>
      <xdr:colOff>47624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3DE747A-3245-23AB-99FB-F524B45B7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x14ac:dyDescent="0.2">
      <c r="A2" t="s">
        <v>24</v>
      </c>
      <c r="B2" t="s">
        <v>31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27139.026999999998</v>
      </c>
      <c r="D4" s="9">
        <v>1.5955569999999999</v>
      </c>
    </row>
    <row r="5" spans="1:6" ht="13.5" thickTop="1" x14ac:dyDescent="0.2">
      <c r="A5" s="13" t="s">
        <v>32</v>
      </c>
      <c r="B5" s="10"/>
      <c r="C5" s="14">
        <v>-9.5</v>
      </c>
      <c r="D5" s="10" t="s">
        <v>33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27139.026999999998</v>
      </c>
    </row>
    <row r="8" spans="1:6" x14ac:dyDescent="0.2">
      <c r="A8" t="s">
        <v>3</v>
      </c>
      <c r="C8">
        <f>+D4</f>
        <v>1.5955569999999999</v>
      </c>
    </row>
    <row r="9" spans="1:6" x14ac:dyDescent="0.2">
      <c r="A9" s="27" t="s">
        <v>37</v>
      </c>
      <c r="B9" s="28">
        <v>21</v>
      </c>
      <c r="C9" s="16" t="str">
        <f>"F"&amp;B9</f>
        <v>F21</v>
      </c>
      <c r="D9" s="17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15">
        <f ca="1">INTERCEPT(INDIRECT($D$9):G992,INDIRECT($C$9):F992)</f>
        <v>-1.7773938109505449E-6</v>
      </c>
      <c r="D11" s="3"/>
      <c r="E11" s="10"/>
    </row>
    <row r="12" spans="1:6" x14ac:dyDescent="0.2">
      <c r="A12" s="10" t="s">
        <v>17</v>
      </c>
      <c r="B12" s="10"/>
      <c r="C12" s="15">
        <f ca="1">SLOPE(INDIRECT($D$9):G992,INDIRECT($C$9):F992)</f>
        <v>-4.7703354141478079E-6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8" t="s">
        <v>18</v>
      </c>
      <c r="B15" s="10"/>
      <c r="C15" s="19">
        <f ca="1">(C7+C11)+(C8+C12)*INT(MAX(F21:F3533))</f>
        <v>56950.324857275722</v>
      </c>
      <c r="E15" s="20" t="s">
        <v>42</v>
      </c>
      <c r="F15" s="14">
        <v>1</v>
      </c>
    </row>
    <row r="16" spans="1:6" x14ac:dyDescent="0.2">
      <c r="A16" s="22" t="s">
        <v>4</v>
      </c>
      <c r="B16" s="10"/>
      <c r="C16" s="23">
        <f ca="1">+C8+C12</f>
        <v>1.5955522296645857</v>
      </c>
      <c r="E16" s="20" t="s">
        <v>34</v>
      </c>
      <c r="F16" s="21">
        <f ca="1">NOW()+15018.5+$C$5/24</f>
        <v>60328.638621180551</v>
      </c>
    </row>
    <row r="17" spans="1:17" ht="13.5" thickBot="1" x14ac:dyDescent="0.25">
      <c r="A17" s="20" t="s">
        <v>28</v>
      </c>
      <c r="B17" s="10"/>
      <c r="C17" s="10">
        <f>COUNT(C21:C2191)</f>
        <v>11</v>
      </c>
      <c r="E17" s="20" t="s">
        <v>43</v>
      </c>
      <c r="F17" s="21">
        <f ca="1">ROUND(2*(F16-$C$7)/$C$8,0)/2+F15</f>
        <v>20802.5</v>
      </c>
    </row>
    <row r="18" spans="1:17" ht="14.25" thickTop="1" thickBot="1" x14ac:dyDescent="0.25">
      <c r="A18" s="22" t="s">
        <v>5</v>
      </c>
      <c r="B18" s="10"/>
      <c r="C18" s="25">
        <f ca="1">+C15</f>
        <v>56950.324857275722</v>
      </c>
      <c r="D18" s="26">
        <f ca="1">+C16</f>
        <v>1.5955522296645857</v>
      </c>
      <c r="E18" s="20" t="s">
        <v>35</v>
      </c>
      <c r="F18" s="17">
        <f ca="1">ROUND(2*(F16-$C$15)/$C$16,0)/2+F15</f>
        <v>2118.5</v>
      </c>
    </row>
    <row r="19" spans="1:17" ht="13.5" thickTop="1" x14ac:dyDescent="0.2">
      <c r="E19" s="20" t="s">
        <v>36</v>
      </c>
      <c r="F19" s="24">
        <f ca="1">+$C$15+$C$16*F18-15018.5-$C$5/24</f>
        <v>45312.398089153481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2">
        <v>27139.026999999998</v>
      </c>
      <c r="D21" s="12" t="s">
        <v>14</v>
      </c>
      <c r="E21">
        <f t="shared" ref="E21:E28" si="0">+(C21-C$7)/C$8</f>
        <v>0</v>
      </c>
      <c r="F21">
        <f t="shared" ref="F21:F31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-1.7773938109505449E-6</v>
      </c>
      <c r="Q21" s="2">
        <f t="shared" ref="Q21:Q28" si="4">+C21-15018.5</f>
        <v>12120.526999999998</v>
      </c>
    </row>
    <row r="22" spans="1:17" x14ac:dyDescent="0.2">
      <c r="A22" s="47" t="s">
        <v>60</v>
      </c>
      <c r="B22" s="46" t="s">
        <v>39</v>
      </c>
      <c r="C22" s="47">
        <v>52144.521000000001</v>
      </c>
      <c r="D22" s="47" t="s">
        <v>54</v>
      </c>
      <c r="E22">
        <f t="shared" si="0"/>
        <v>15671.952803942449</v>
      </c>
      <c r="F22">
        <f t="shared" si="1"/>
        <v>15672</v>
      </c>
      <c r="G22">
        <f t="shared" si="2"/>
        <v>-7.5303999990865123E-2</v>
      </c>
      <c r="I22">
        <f>+G22</f>
        <v>-7.5303999990865123E-2</v>
      </c>
      <c r="O22">
        <f t="shared" ca="1" si="3"/>
        <v>-7.4762474004335402E-2</v>
      </c>
      <c r="Q22" s="2">
        <f t="shared" si="4"/>
        <v>37126.021000000001</v>
      </c>
    </row>
    <row r="23" spans="1:17" x14ac:dyDescent="0.2">
      <c r="A23" s="47" t="s">
        <v>64</v>
      </c>
      <c r="B23" s="46" t="s">
        <v>39</v>
      </c>
      <c r="C23" s="47">
        <v>52503.519999999997</v>
      </c>
      <c r="D23" s="47" t="s">
        <v>54</v>
      </c>
      <c r="E23">
        <f t="shared" si="0"/>
        <v>15896.951973511445</v>
      </c>
      <c r="F23">
        <f t="shared" si="1"/>
        <v>15897</v>
      </c>
      <c r="G23">
        <f t="shared" si="2"/>
        <v>-7.6628999995591585E-2</v>
      </c>
      <c r="I23">
        <f>+G23</f>
        <v>-7.6628999995591585E-2</v>
      </c>
      <c r="O23">
        <f t="shared" ca="1" si="3"/>
        <v>-7.5835799472518658E-2</v>
      </c>
      <c r="Q23" s="2">
        <f t="shared" si="4"/>
        <v>37485.019999999997</v>
      </c>
    </row>
    <row r="24" spans="1:17" x14ac:dyDescent="0.2">
      <c r="A24" s="10" t="s">
        <v>30</v>
      </c>
      <c r="B24" s="11"/>
      <c r="C24" s="12">
        <v>53660.296499999997</v>
      </c>
      <c r="D24" s="12">
        <v>1.1000000000000001E-3</v>
      </c>
      <c r="E24">
        <f t="shared" si="0"/>
        <v>16621.950516340061</v>
      </c>
      <c r="F24">
        <f t="shared" si="1"/>
        <v>16622</v>
      </c>
      <c r="G24">
        <f t="shared" si="2"/>
        <v>-7.8953999996883795E-2</v>
      </c>
      <c r="J24">
        <f>+G24</f>
        <v>-7.8953999996883795E-2</v>
      </c>
      <c r="O24">
        <f t="shared" ca="1" si="3"/>
        <v>-7.9294292647775808E-2</v>
      </c>
      <c r="Q24" s="2">
        <f t="shared" si="4"/>
        <v>38641.796499999997</v>
      </c>
    </row>
    <row r="25" spans="1:17" x14ac:dyDescent="0.2">
      <c r="A25" s="29" t="s">
        <v>38</v>
      </c>
      <c r="B25" s="3" t="s">
        <v>39</v>
      </c>
      <c r="C25" s="30">
        <v>54762.823799999998</v>
      </c>
      <c r="D25" s="30">
        <v>4.0000000000000002E-4</v>
      </c>
      <c r="E25">
        <f t="shared" si="0"/>
        <v>17312.948894962701</v>
      </c>
      <c r="F25">
        <f t="shared" si="1"/>
        <v>17313</v>
      </c>
      <c r="G25">
        <f t="shared" si="2"/>
        <v>-8.1540999999560881E-2</v>
      </c>
      <c r="K25">
        <f>+G25</f>
        <v>-8.1540999999560881E-2</v>
      </c>
      <c r="O25">
        <f t="shared" ca="1" si="3"/>
        <v>-8.2590594418951946E-2</v>
      </c>
      <c r="Q25" s="2">
        <f t="shared" si="4"/>
        <v>39744.323799999998</v>
      </c>
    </row>
    <row r="26" spans="1:17" x14ac:dyDescent="0.2">
      <c r="A26" s="31" t="s">
        <v>40</v>
      </c>
      <c r="B26" s="32" t="s">
        <v>39</v>
      </c>
      <c r="C26" s="31">
        <v>54847.385900000001</v>
      </c>
      <c r="D26" s="31">
        <v>3.5000000000000001E-3</v>
      </c>
      <c r="E26">
        <f t="shared" si="0"/>
        <v>17365.947377624245</v>
      </c>
      <c r="F26">
        <f t="shared" si="1"/>
        <v>17366</v>
      </c>
      <c r="G26">
        <f t="shared" si="2"/>
        <v>-8.3961999996972736E-2</v>
      </c>
      <c r="J26">
        <f>+G26</f>
        <v>-8.3961999996972736E-2</v>
      </c>
      <c r="O26">
        <f t="shared" ca="1" si="3"/>
        <v>-8.2843422195901781E-2</v>
      </c>
      <c r="Q26" s="2">
        <f t="shared" si="4"/>
        <v>39828.885900000001</v>
      </c>
    </row>
    <row r="27" spans="1:17" x14ac:dyDescent="0.2">
      <c r="A27" s="31" t="s">
        <v>41</v>
      </c>
      <c r="B27" s="32" t="s">
        <v>39</v>
      </c>
      <c r="C27" s="31">
        <v>55847.802100000001</v>
      </c>
      <c r="D27" s="31">
        <v>4.0000000000000002E-4</v>
      </c>
      <c r="E27">
        <f t="shared" si="0"/>
        <v>17992.948606662128</v>
      </c>
      <c r="F27">
        <f t="shared" si="1"/>
        <v>17993</v>
      </c>
      <c r="G27">
        <f t="shared" si="2"/>
        <v>-8.2000999995216262E-2</v>
      </c>
      <c r="K27">
        <f>+G27</f>
        <v>-8.2000999995216262E-2</v>
      </c>
      <c r="O27">
        <f t="shared" ca="1" si="3"/>
        <v>-8.5834422500572452E-2</v>
      </c>
      <c r="Q27" s="2">
        <f t="shared" si="4"/>
        <v>40829.302100000001</v>
      </c>
    </row>
    <row r="28" spans="1:17" x14ac:dyDescent="0.2">
      <c r="A28" s="47" t="s">
        <v>91</v>
      </c>
      <c r="B28" s="46" t="s">
        <v>39</v>
      </c>
      <c r="C28" s="47">
        <v>55857.372300000003</v>
      </c>
      <c r="D28" s="47" t="s">
        <v>54</v>
      </c>
      <c r="E28">
        <f t="shared" si="0"/>
        <v>17998.946637443856</v>
      </c>
      <c r="F28">
        <f t="shared" si="1"/>
        <v>17999</v>
      </c>
      <c r="G28">
        <f t="shared" si="2"/>
        <v>-8.5142999989329837E-2</v>
      </c>
      <c r="K28">
        <f>+G28</f>
        <v>-8.5142999989329837E-2</v>
      </c>
      <c r="O28">
        <f t="shared" ca="1" si="3"/>
        <v>-8.5863044513057346E-2</v>
      </c>
      <c r="Q28" s="2">
        <f t="shared" si="4"/>
        <v>40838.872300000003</v>
      </c>
    </row>
    <row r="29" spans="1:17" x14ac:dyDescent="0.2">
      <c r="A29" s="48" t="s">
        <v>92</v>
      </c>
      <c r="B29" s="49" t="s">
        <v>39</v>
      </c>
      <c r="C29" s="50">
        <v>56950.322999999997</v>
      </c>
      <c r="D29" s="50">
        <v>6.9999999999999999E-4</v>
      </c>
      <c r="E29">
        <f>+(C29-C$7)/C$8</f>
        <v>18683.942974146332</v>
      </c>
      <c r="F29">
        <f t="shared" si="1"/>
        <v>18684</v>
      </c>
      <c r="G29">
        <f>+C29-(C$7+F29*C$8)</f>
        <v>-9.0988000003562775E-2</v>
      </c>
      <c r="K29">
        <f>+G29</f>
        <v>-9.0988000003562775E-2</v>
      </c>
      <c r="O29">
        <f ca="1">+C$11+C$12*$F29</f>
        <v>-8.913072427174859E-2</v>
      </c>
      <c r="Q29" s="2">
        <f>+C29-15018.5</f>
        <v>41931.822999999997</v>
      </c>
    </row>
    <row r="30" spans="1:17" x14ac:dyDescent="0.2">
      <c r="A30" s="48" t="s">
        <v>92</v>
      </c>
      <c r="B30" s="49" t="s">
        <v>39</v>
      </c>
      <c r="C30" s="50">
        <v>56950.323190000003</v>
      </c>
      <c r="D30" s="50">
        <v>5.9999999999999995E-4</v>
      </c>
      <c r="E30">
        <f>+(C30-C$7)/C$8</f>
        <v>18683.943093227008</v>
      </c>
      <c r="F30">
        <f t="shared" si="1"/>
        <v>18684</v>
      </c>
      <c r="G30">
        <f>+C30-(C$7+F30*C$8)</f>
        <v>-9.0797999997448642E-2</v>
      </c>
      <c r="K30">
        <f>+G30</f>
        <v>-9.0797999997448642E-2</v>
      </c>
      <c r="O30">
        <f ca="1">+C$11+C$12*$F30</f>
        <v>-8.913072427174859E-2</v>
      </c>
      <c r="Q30" s="2">
        <f>+C30-15018.5</f>
        <v>41931.823190000003</v>
      </c>
    </row>
    <row r="31" spans="1:17" x14ac:dyDescent="0.2">
      <c r="A31" s="48" t="s">
        <v>92</v>
      </c>
      <c r="B31" s="49" t="s">
        <v>39</v>
      </c>
      <c r="C31" s="50">
        <v>56950.324890000004</v>
      </c>
      <c r="D31" s="50">
        <v>4.0000000000000002E-4</v>
      </c>
      <c r="E31">
        <f>+(C31-C$7)/C$8</f>
        <v>18683.944158685656</v>
      </c>
      <c r="F31">
        <f t="shared" si="1"/>
        <v>18684</v>
      </c>
      <c r="G31">
        <f>+C31-(C$7+F31*C$8)</f>
        <v>-8.9097999996738508E-2</v>
      </c>
      <c r="K31">
        <f>+G31</f>
        <v>-8.9097999996738508E-2</v>
      </c>
      <c r="O31">
        <f ca="1">+C$11+C$12*$F31</f>
        <v>-8.913072427174859E-2</v>
      </c>
      <c r="Q31" s="2">
        <f>+C31-15018.5</f>
        <v>41931.824890000004</v>
      </c>
    </row>
    <row r="32" spans="1:17" x14ac:dyDescent="0.2">
      <c r="D32" s="3"/>
      <c r="Q32" s="2"/>
    </row>
    <row r="33" spans="4:17" x14ac:dyDescent="0.2">
      <c r="D33" s="3"/>
      <c r="Q33" s="2"/>
    </row>
    <row r="34" spans="4:17" x14ac:dyDescent="0.2">
      <c r="D34" s="3"/>
    </row>
    <row r="35" spans="4:17" x14ac:dyDescent="0.2">
      <c r="D35" s="3"/>
    </row>
    <row r="36" spans="4:17" x14ac:dyDescent="0.2">
      <c r="D36" s="3"/>
    </row>
    <row r="37" spans="4:17" x14ac:dyDescent="0.2">
      <c r="D37" s="3"/>
    </row>
    <row r="38" spans="4:17" x14ac:dyDescent="0.2">
      <c r="D38" s="3"/>
    </row>
    <row r="39" spans="4:17" x14ac:dyDescent="0.2">
      <c r="D39" s="3"/>
    </row>
    <row r="40" spans="4:17" x14ac:dyDescent="0.2">
      <c r="D40" s="3"/>
    </row>
    <row r="41" spans="4:17" x14ac:dyDescent="0.2">
      <c r="D41" s="3"/>
    </row>
    <row r="42" spans="4:17" x14ac:dyDescent="0.2">
      <c r="D42" s="3"/>
    </row>
    <row r="43" spans="4:17" x14ac:dyDescent="0.2">
      <c r="D43" s="3"/>
    </row>
    <row r="44" spans="4:17" x14ac:dyDescent="0.2">
      <c r="D44" s="3"/>
    </row>
    <row r="45" spans="4:17" x14ac:dyDescent="0.2">
      <c r="D45" s="3"/>
    </row>
    <row r="46" spans="4:17" x14ac:dyDescent="0.2">
      <c r="D46" s="3"/>
    </row>
    <row r="47" spans="4:17" x14ac:dyDescent="0.2">
      <c r="D47" s="3"/>
    </row>
    <row r="48" spans="4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8" type="noConversion"/>
  <hyperlinks>
    <hyperlink ref="H248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1"/>
  <sheetViews>
    <sheetView workbookViewId="0">
      <selection activeCell="N7" sqref="N7:N23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44</v>
      </c>
      <c r="I1" s="34" t="s">
        <v>45</v>
      </c>
      <c r="J1" s="35" t="s">
        <v>46</v>
      </c>
    </row>
    <row r="2" spans="1:16" x14ac:dyDescent="0.2">
      <c r="I2" s="36" t="s">
        <v>47</v>
      </c>
      <c r="J2" s="37" t="s">
        <v>48</v>
      </c>
    </row>
    <row r="3" spans="1:16" x14ac:dyDescent="0.2">
      <c r="A3" s="38" t="s">
        <v>49</v>
      </c>
      <c r="I3" s="36" t="s">
        <v>50</v>
      </c>
      <c r="J3" s="37" t="s">
        <v>51</v>
      </c>
    </row>
    <row r="4" spans="1:16" x14ac:dyDescent="0.2">
      <c r="I4" s="36" t="s">
        <v>52</v>
      </c>
      <c r="J4" s="37" t="s">
        <v>51</v>
      </c>
    </row>
    <row r="5" spans="1:16" ht="13.5" thickBot="1" x14ac:dyDescent="0.25">
      <c r="I5" s="39" t="s">
        <v>53</v>
      </c>
      <c r="J5" s="40" t="s">
        <v>54</v>
      </c>
    </row>
    <row r="10" spans="1:16" ht="13.5" thickBot="1" x14ac:dyDescent="0.25"/>
    <row r="11" spans="1:16" ht="12.75" customHeight="1" thickBot="1" x14ac:dyDescent="0.25">
      <c r="A11" s="12" t="str">
        <f t="shared" ref="A11:A17" si="0">P11</f>
        <v>BAVM 178 </v>
      </c>
      <c r="B11" s="3" t="str">
        <f t="shared" ref="B11:B17" si="1">IF(H11=INT(H11),"I","II")</f>
        <v>I</v>
      </c>
      <c r="C11" s="12">
        <f t="shared" ref="C11:C17" si="2">1*G11</f>
        <v>53660.296499999997</v>
      </c>
      <c r="D11" s="10" t="str">
        <f t="shared" ref="D11:D17" si="3">VLOOKUP(F11,I$1:J$5,2,FALSE)</f>
        <v>vis</v>
      </c>
      <c r="E11" s="41">
        <f>VLOOKUP(C11,Active!C$21:E$973,3,FALSE)</f>
        <v>16621.950516340061</v>
      </c>
      <c r="F11" s="3" t="s">
        <v>53</v>
      </c>
      <c r="G11" s="10" t="str">
        <f t="shared" ref="G11:G17" si="4">MID(I11,3,LEN(I11)-3)</f>
        <v>53660.2965</v>
      </c>
      <c r="H11" s="12">
        <f t="shared" ref="H11:H17" si="5">1*K11</f>
        <v>16622</v>
      </c>
      <c r="I11" s="42" t="s">
        <v>65</v>
      </c>
      <c r="J11" s="43" t="s">
        <v>66</v>
      </c>
      <c r="K11" s="42">
        <v>16622</v>
      </c>
      <c r="L11" s="42" t="s">
        <v>67</v>
      </c>
      <c r="M11" s="43" t="s">
        <v>68</v>
      </c>
      <c r="N11" s="43"/>
      <c r="O11" s="44" t="s">
        <v>69</v>
      </c>
      <c r="P11" s="45" t="s">
        <v>70</v>
      </c>
    </row>
    <row r="12" spans="1:16" ht="12.75" customHeight="1" thickBot="1" x14ac:dyDescent="0.25">
      <c r="A12" s="12" t="str">
        <f t="shared" si="0"/>
        <v>IBVS 5871 </v>
      </c>
      <c r="B12" s="3" t="str">
        <f t="shared" si="1"/>
        <v>I</v>
      </c>
      <c r="C12" s="12">
        <f t="shared" si="2"/>
        <v>54762.823799999998</v>
      </c>
      <c r="D12" s="10" t="str">
        <f t="shared" si="3"/>
        <v>vis</v>
      </c>
      <c r="E12" s="41">
        <f>VLOOKUP(C12,Active!C$21:E$973,3,FALSE)</f>
        <v>17312.948894962701</v>
      </c>
      <c r="F12" s="3" t="s">
        <v>53</v>
      </c>
      <c r="G12" s="10" t="str">
        <f t="shared" si="4"/>
        <v>54762.8238</v>
      </c>
      <c r="H12" s="12">
        <f t="shared" si="5"/>
        <v>17313</v>
      </c>
      <c r="I12" s="42" t="s">
        <v>71</v>
      </c>
      <c r="J12" s="43" t="s">
        <v>72</v>
      </c>
      <c r="K12" s="42" t="s">
        <v>73</v>
      </c>
      <c r="L12" s="42" t="s">
        <v>74</v>
      </c>
      <c r="M12" s="43" t="s">
        <v>68</v>
      </c>
      <c r="N12" s="43"/>
      <c r="O12" s="44" t="s">
        <v>59</v>
      </c>
      <c r="P12" s="45" t="s">
        <v>75</v>
      </c>
    </row>
    <row r="13" spans="1:16" ht="12.75" customHeight="1" thickBot="1" x14ac:dyDescent="0.25">
      <c r="A13" s="12" t="str">
        <f t="shared" si="0"/>
        <v>BAVM 209 </v>
      </c>
      <c r="B13" s="3" t="str">
        <f t="shared" si="1"/>
        <v>I</v>
      </c>
      <c r="C13" s="12">
        <f t="shared" si="2"/>
        <v>54847.385900000001</v>
      </c>
      <c r="D13" s="10" t="str">
        <f t="shared" si="3"/>
        <v>vis</v>
      </c>
      <c r="E13" s="41">
        <f>VLOOKUP(C13,Active!C$21:E$973,3,FALSE)</f>
        <v>17365.947377624245</v>
      </c>
      <c r="F13" s="3" t="s">
        <v>53</v>
      </c>
      <c r="G13" s="10" t="str">
        <f t="shared" si="4"/>
        <v>54847.3859</v>
      </c>
      <c r="H13" s="12">
        <f t="shared" si="5"/>
        <v>17366</v>
      </c>
      <c r="I13" s="42" t="s">
        <v>76</v>
      </c>
      <c r="J13" s="43" t="s">
        <v>77</v>
      </c>
      <c r="K13" s="42" t="s">
        <v>78</v>
      </c>
      <c r="L13" s="42" t="s">
        <v>79</v>
      </c>
      <c r="M13" s="43" t="s">
        <v>68</v>
      </c>
      <c r="N13" s="43"/>
      <c r="O13" s="44" t="s">
        <v>80</v>
      </c>
      <c r="P13" s="45" t="s">
        <v>81</v>
      </c>
    </row>
    <row r="14" spans="1:16" ht="12.75" customHeight="1" thickBot="1" x14ac:dyDescent="0.25">
      <c r="A14" s="12" t="str">
        <f t="shared" si="0"/>
        <v>IBVS 6011 </v>
      </c>
      <c r="B14" s="3" t="str">
        <f t="shared" si="1"/>
        <v>I</v>
      </c>
      <c r="C14" s="12">
        <f t="shared" si="2"/>
        <v>55847.802100000001</v>
      </c>
      <c r="D14" s="10" t="str">
        <f t="shared" si="3"/>
        <v>vis</v>
      </c>
      <c r="E14" s="41">
        <f>VLOOKUP(C14,Active!C$21:E$973,3,FALSE)</f>
        <v>17992.948606662128</v>
      </c>
      <c r="F14" s="3" t="s">
        <v>53</v>
      </c>
      <c r="G14" s="10" t="str">
        <f t="shared" si="4"/>
        <v>55847.8021</v>
      </c>
      <c r="H14" s="12">
        <f t="shared" si="5"/>
        <v>17993</v>
      </c>
      <c r="I14" s="42" t="s">
        <v>82</v>
      </c>
      <c r="J14" s="43" t="s">
        <v>83</v>
      </c>
      <c r="K14" s="42" t="s">
        <v>84</v>
      </c>
      <c r="L14" s="42" t="s">
        <v>85</v>
      </c>
      <c r="M14" s="43" t="s">
        <v>68</v>
      </c>
      <c r="N14" s="43"/>
      <c r="O14" s="44" t="s">
        <v>59</v>
      </c>
      <c r="P14" s="45" t="s">
        <v>86</v>
      </c>
    </row>
    <row r="15" spans="1:16" ht="12.75" customHeight="1" thickBot="1" x14ac:dyDescent="0.25">
      <c r="A15" s="12" t="str">
        <f t="shared" si="0"/>
        <v> BBS 126 </v>
      </c>
      <c r="B15" s="3" t="str">
        <f t="shared" si="1"/>
        <v>I</v>
      </c>
      <c r="C15" s="12">
        <f t="shared" si="2"/>
        <v>52144.521000000001</v>
      </c>
      <c r="D15" s="10" t="str">
        <f t="shared" si="3"/>
        <v>vis</v>
      </c>
      <c r="E15" s="41">
        <f>VLOOKUP(C15,Active!C$21:E$973,3,FALSE)</f>
        <v>15671.952803942449</v>
      </c>
      <c r="F15" s="3" t="s">
        <v>53</v>
      </c>
      <c r="G15" s="10" t="str">
        <f t="shared" si="4"/>
        <v>52144.521</v>
      </c>
      <c r="H15" s="12">
        <f t="shared" si="5"/>
        <v>15672</v>
      </c>
      <c r="I15" s="42" t="s">
        <v>55</v>
      </c>
      <c r="J15" s="43" t="s">
        <v>56</v>
      </c>
      <c r="K15" s="42">
        <v>15672</v>
      </c>
      <c r="L15" s="42" t="s">
        <v>57</v>
      </c>
      <c r="M15" s="43" t="s">
        <v>58</v>
      </c>
      <c r="N15" s="43"/>
      <c r="O15" s="44" t="s">
        <v>59</v>
      </c>
      <c r="P15" s="44" t="s">
        <v>60</v>
      </c>
    </row>
    <row r="16" spans="1:16" ht="12.75" customHeight="1" thickBot="1" x14ac:dyDescent="0.25">
      <c r="A16" s="12" t="str">
        <f t="shared" si="0"/>
        <v> BBS 128 </v>
      </c>
      <c r="B16" s="3" t="str">
        <f t="shared" si="1"/>
        <v>I</v>
      </c>
      <c r="C16" s="12">
        <f t="shared" si="2"/>
        <v>52503.519999999997</v>
      </c>
      <c r="D16" s="10" t="str">
        <f t="shared" si="3"/>
        <v>vis</v>
      </c>
      <c r="E16" s="41">
        <f>VLOOKUP(C16,Active!C$21:E$973,3,FALSE)</f>
        <v>15896.951973511445</v>
      </c>
      <c r="F16" s="3" t="s">
        <v>53</v>
      </c>
      <c r="G16" s="10" t="str">
        <f t="shared" si="4"/>
        <v>52503.5200</v>
      </c>
      <c r="H16" s="12">
        <f t="shared" si="5"/>
        <v>15897</v>
      </c>
      <c r="I16" s="42" t="s">
        <v>61</v>
      </c>
      <c r="J16" s="43" t="s">
        <v>62</v>
      </c>
      <c r="K16" s="42">
        <v>15897</v>
      </c>
      <c r="L16" s="42" t="s">
        <v>63</v>
      </c>
      <c r="M16" s="43" t="s">
        <v>58</v>
      </c>
      <c r="N16" s="43"/>
      <c r="O16" s="44" t="s">
        <v>59</v>
      </c>
      <c r="P16" s="44" t="s">
        <v>64</v>
      </c>
    </row>
    <row r="17" spans="1:16" ht="12.75" customHeight="1" thickBot="1" x14ac:dyDescent="0.25">
      <c r="A17" s="12" t="str">
        <f t="shared" si="0"/>
        <v>BAVM 225 </v>
      </c>
      <c r="B17" s="3" t="str">
        <f t="shared" si="1"/>
        <v>I</v>
      </c>
      <c r="C17" s="12">
        <f t="shared" si="2"/>
        <v>55857.372300000003</v>
      </c>
      <c r="D17" s="10" t="str">
        <f t="shared" si="3"/>
        <v>vis</v>
      </c>
      <c r="E17" s="41">
        <f>VLOOKUP(C17,Active!C$21:E$973,3,FALSE)</f>
        <v>17998.946637443856</v>
      </c>
      <c r="F17" s="3" t="s">
        <v>53</v>
      </c>
      <c r="G17" s="10" t="str">
        <f t="shared" si="4"/>
        <v>55857.3723</v>
      </c>
      <c r="H17" s="12">
        <f t="shared" si="5"/>
        <v>17999</v>
      </c>
      <c r="I17" s="42" t="s">
        <v>87</v>
      </c>
      <c r="J17" s="43" t="s">
        <v>88</v>
      </c>
      <c r="K17" s="42" t="s">
        <v>89</v>
      </c>
      <c r="L17" s="42" t="s">
        <v>90</v>
      </c>
      <c r="M17" s="43" t="s">
        <v>68</v>
      </c>
      <c r="N17" s="43"/>
      <c r="O17" s="44" t="s">
        <v>80</v>
      </c>
      <c r="P17" s="45" t="s">
        <v>91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</sheetData>
  <phoneticPr fontId="8" type="noConversion"/>
  <hyperlinks>
    <hyperlink ref="A3" r:id="rId1"/>
    <hyperlink ref="P11" r:id="rId2" display="http://www.bav-astro.de/sfs/BAVM_link.php?BAVMnr=178"/>
    <hyperlink ref="P12" r:id="rId3" display="http://www.konkoly.hu/cgi-bin/IBVS?5871"/>
    <hyperlink ref="P13" r:id="rId4" display="http://www.bav-astro.de/sfs/BAVM_link.php?BAVMnr=209"/>
    <hyperlink ref="P14" r:id="rId5" display="http://www.konkoly.hu/cgi-bin/IBVS?6011"/>
    <hyperlink ref="P17" r:id="rId6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2024-01-19T02:19:36Z</dcterms:modified>
</cp:coreProperties>
</file>