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4453DF8-863B-478D-A7E2-3CB8EF367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4" i="1" l="1"/>
  <c r="F74" i="1"/>
  <c r="G74" i="1" s="1"/>
  <c r="K74" i="1" s="1"/>
  <c r="Q74" i="1"/>
  <c r="E73" i="1"/>
  <c r="F73" i="1" s="1"/>
  <c r="G73" i="1" s="1"/>
  <c r="K73" i="1" s="1"/>
  <c r="Q73" i="1"/>
  <c r="Q72" i="1"/>
  <c r="Q71" i="1"/>
  <c r="Q70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61" i="1"/>
  <c r="Q62" i="1"/>
  <c r="Q64" i="1"/>
  <c r="G32" i="2"/>
  <c r="C32" i="2" s="1"/>
  <c r="E32" i="2" s="1"/>
  <c r="G31" i="2"/>
  <c r="C31" i="2" s="1"/>
  <c r="E31" i="2" s="1"/>
  <c r="G30" i="2"/>
  <c r="C30" i="2" s="1"/>
  <c r="E30" i="2" s="1"/>
  <c r="G29" i="2"/>
  <c r="C29" i="2" s="1"/>
  <c r="E29" i="2" s="1"/>
  <c r="G28" i="2"/>
  <c r="C28" i="2" s="1"/>
  <c r="E28" i="2" s="1"/>
  <c r="G59" i="2"/>
  <c r="C59" i="2" s="1"/>
  <c r="E59" i="2" s="1"/>
  <c r="G27" i="2"/>
  <c r="C27" i="2" s="1"/>
  <c r="E27" i="2" s="1"/>
  <c r="G58" i="2"/>
  <c r="C58" i="2" s="1"/>
  <c r="E58" i="2" s="1"/>
  <c r="G57" i="2"/>
  <c r="C57" i="2" s="1"/>
  <c r="E57" i="2" s="1"/>
  <c r="G26" i="2"/>
  <c r="C26" i="2" s="1"/>
  <c r="E26" i="2" s="1"/>
  <c r="G25" i="2"/>
  <c r="C25" i="2" s="1"/>
  <c r="E25" i="2" s="1"/>
  <c r="G24" i="2"/>
  <c r="C24" i="2" s="1"/>
  <c r="E24" i="2" s="1"/>
  <c r="G23" i="2"/>
  <c r="C23" i="2" s="1"/>
  <c r="E23" i="2" s="1"/>
  <c r="G22" i="2"/>
  <c r="C22" i="2" s="1"/>
  <c r="E22" i="2" s="1"/>
  <c r="G21" i="2"/>
  <c r="C21" i="2" s="1"/>
  <c r="E21" i="2" s="1"/>
  <c r="G20" i="2"/>
  <c r="C20" i="2" s="1"/>
  <c r="E20" i="2" s="1"/>
  <c r="G19" i="2"/>
  <c r="C19" i="2" s="1"/>
  <c r="E19" i="2" s="1"/>
  <c r="G18" i="2"/>
  <c r="C18" i="2" s="1"/>
  <c r="E18" i="2" s="1"/>
  <c r="G17" i="2"/>
  <c r="C17" i="2" s="1"/>
  <c r="E17" i="2" s="1"/>
  <c r="G16" i="2"/>
  <c r="C16" i="2" s="1"/>
  <c r="E16" i="2" s="1"/>
  <c r="G15" i="2"/>
  <c r="C15" i="2" s="1"/>
  <c r="E15" i="2" s="1"/>
  <c r="G14" i="2"/>
  <c r="C14" i="2" s="1"/>
  <c r="E14" i="2" s="1"/>
  <c r="G13" i="2"/>
  <c r="C13" i="2" s="1"/>
  <c r="E13" i="2" s="1"/>
  <c r="G12" i="2"/>
  <c r="C12" i="2" s="1"/>
  <c r="E12" i="2" s="1"/>
  <c r="G56" i="2"/>
  <c r="C56" i="2" s="1"/>
  <c r="E56" i="2" s="1"/>
  <c r="G55" i="2"/>
  <c r="C55" i="2" s="1"/>
  <c r="E55" i="2" s="1"/>
  <c r="G54" i="2"/>
  <c r="C54" i="2" s="1"/>
  <c r="E54" i="2" s="1"/>
  <c r="G53" i="2"/>
  <c r="C53" i="2" s="1"/>
  <c r="E53" i="2" s="1"/>
  <c r="G52" i="2"/>
  <c r="C52" i="2" s="1"/>
  <c r="E52" i="2" s="1"/>
  <c r="G51" i="2"/>
  <c r="C51" i="2" s="1"/>
  <c r="E51" i="2" s="1"/>
  <c r="G50" i="2"/>
  <c r="C50" i="2" s="1"/>
  <c r="E50" i="2" s="1"/>
  <c r="G11" i="2"/>
  <c r="C11" i="2" s="1"/>
  <c r="E11" i="2" s="1"/>
  <c r="G49" i="2"/>
  <c r="C49" i="2" s="1"/>
  <c r="E49" i="2" s="1"/>
  <c r="G48" i="2"/>
  <c r="C48" i="2" s="1"/>
  <c r="E48" i="2" s="1"/>
  <c r="G47" i="2"/>
  <c r="C47" i="2" s="1"/>
  <c r="E47" i="2" s="1"/>
  <c r="G46" i="2"/>
  <c r="C46" i="2" s="1"/>
  <c r="E46" i="2" s="1"/>
  <c r="G45" i="2"/>
  <c r="C45" i="2" s="1"/>
  <c r="E45" i="2" s="1"/>
  <c r="G44" i="2"/>
  <c r="C44" i="2" s="1"/>
  <c r="E44" i="2" s="1"/>
  <c r="G43" i="2"/>
  <c r="C43" i="2" s="1"/>
  <c r="E43" i="2" s="1"/>
  <c r="G42" i="2"/>
  <c r="C42" i="2" s="1"/>
  <c r="E42" i="2" s="1"/>
  <c r="G41" i="2"/>
  <c r="C41" i="2" s="1"/>
  <c r="E41" i="2" s="1"/>
  <c r="G40" i="2"/>
  <c r="C40" i="2" s="1"/>
  <c r="E40" i="2" s="1"/>
  <c r="G39" i="2"/>
  <c r="C39" i="2" s="1"/>
  <c r="E39" i="2" s="1"/>
  <c r="G38" i="2"/>
  <c r="C38" i="2" s="1"/>
  <c r="E38" i="2" s="1"/>
  <c r="G37" i="2"/>
  <c r="C37" i="2" s="1"/>
  <c r="E37" i="2" s="1"/>
  <c r="G36" i="2"/>
  <c r="C36" i="2" s="1"/>
  <c r="E36" i="2" s="1"/>
  <c r="G35" i="2"/>
  <c r="C35" i="2" s="1"/>
  <c r="E35" i="2" s="1"/>
  <c r="G34" i="2"/>
  <c r="C34" i="2" s="1"/>
  <c r="E34" i="2" s="1"/>
  <c r="G33" i="2"/>
  <c r="C33" i="2" s="1"/>
  <c r="E33" i="2" s="1"/>
  <c r="H32" i="2"/>
  <c r="B32" i="2" s="1"/>
  <c r="D32" i="2"/>
  <c r="A32" i="2"/>
  <c r="H31" i="2"/>
  <c r="B31" i="2" s="1"/>
  <c r="D31" i="2"/>
  <c r="A31" i="2"/>
  <c r="H30" i="2"/>
  <c r="B30" i="2" s="1"/>
  <c r="D30" i="2"/>
  <c r="A30" i="2"/>
  <c r="H29" i="2"/>
  <c r="B29" i="2" s="1"/>
  <c r="D29" i="2"/>
  <c r="A29" i="2"/>
  <c r="H28" i="2"/>
  <c r="B28" i="2" s="1"/>
  <c r="D28" i="2"/>
  <c r="A28" i="2"/>
  <c r="H59" i="2"/>
  <c r="B59" i="2" s="1"/>
  <c r="D59" i="2"/>
  <c r="A59" i="2"/>
  <c r="H27" i="2"/>
  <c r="B27" i="2" s="1"/>
  <c r="D27" i="2"/>
  <c r="A27" i="2"/>
  <c r="H58" i="2"/>
  <c r="B58" i="2" s="1"/>
  <c r="D58" i="2"/>
  <c r="A58" i="2"/>
  <c r="H57" i="2"/>
  <c r="B57" i="2" s="1"/>
  <c r="D57" i="2"/>
  <c r="A57" i="2"/>
  <c r="H26" i="2"/>
  <c r="B26" i="2" s="1"/>
  <c r="D26" i="2"/>
  <c r="A26" i="2"/>
  <c r="H25" i="2"/>
  <c r="B25" i="2" s="1"/>
  <c r="D25" i="2"/>
  <c r="A25" i="2"/>
  <c r="H24" i="2"/>
  <c r="B24" i="2" s="1"/>
  <c r="D24" i="2"/>
  <c r="A24" i="2"/>
  <c r="H23" i="2"/>
  <c r="B23" i="2" s="1"/>
  <c r="D23" i="2"/>
  <c r="A23" i="2"/>
  <c r="H22" i="2"/>
  <c r="B22" i="2" s="1"/>
  <c r="D22" i="2"/>
  <c r="A22" i="2"/>
  <c r="H21" i="2"/>
  <c r="B21" i="2" s="1"/>
  <c r="D21" i="2"/>
  <c r="A21" i="2"/>
  <c r="H20" i="2"/>
  <c r="B20" i="2" s="1"/>
  <c r="D20" i="2"/>
  <c r="A20" i="2"/>
  <c r="H19" i="2"/>
  <c r="B19" i="2" s="1"/>
  <c r="D19" i="2"/>
  <c r="A19" i="2"/>
  <c r="H18" i="2"/>
  <c r="B18" i="2" s="1"/>
  <c r="D18" i="2"/>
  <c r="A18" i="2"/>
  <c r="H17" i="2"/>
  <c r="B17" i="2" s="1"/>
  <c r="D17" i="2"/>
  <c r="A17" i="2"/>
  <c r="H16" i="2"/>
  <c r="B16" i="2" s="1"/>
  <c r="D16" i="2"/>
  <c r="A16" i="2"/>
  <c r="H15" i="2"/>
  <c r="B15" i="2" s="1"/>
  <c r="D15" i="2"/>
  <c r="A15" i="2"/>
  <c r="H14" i="2"/>
  <c r="B14" i="2" s="1"/>
  <c r="D14" i="2"/>
  <c r="A14" i="2"/>
  <c r="H13" i="2"/>
  <c r="B13" i="2" s="1"/>
  <c r="D13" i="2"/>
  <c r="A13" i="2"/>
  <c r="H12" i="2"/>
  <c r="B12" i="2" s="1"/>
  <c r="D12" i="2"/>
  <c r="A12" i="2"/>
  <c r="H56" i="2"/>
  <c r="B56" i="2" s="1"/>
  <c r="D56" i="2"/>
  <c r="A56" i="2"/>
  <c r="H55" i="2"/>
  <c r="B55" i="2" s="1"/>
  <c r="D55" i="2"/>
  <c r="A55" i="2"/>
  <c r="H54" i="2"/>
  <c r="B54" i="2" s="1"/>
  <c r="D54" i="2"/>
  <c r="A54" i="2"/>
  <c r="H53" i="2"/>
  <c r="B53" i="2" s="1"/>
  <c r="D53" i="2"/>
  <c r="A53" i="2"/>
  <c r="H52" i="2"/>
  <c r="B52" i="2" s="1"/>
  <c r="D52" i="2"/>
  <c r="A52" i="2"/>
  <c r="H51" i="2"/>
  <c r="B51" i="2" s="1"/>
  <c r="D51" i="2"/>
  <c r="A51" i="2"/>
  <c r="H50" i="2"/>
  <c r="B50" i="2" s="1"/>
  <c r="D50" i="2"/>
  <c r="A50" i="2"/>
  <c r="H11" i="2"/>
  <c r="B11" i="2" s="1"/>
  <c r="D11" i="2"/>
  <c r="A11" i="2"/>
  <c r="H49" i="2"/>
  <c r="B49" i="2" s="1"/>
  <c r="D49" i="2"/>
  <c r="A49" i="2"/>
  <c r="H48" i="2"/>
  <c r="B48" i="2" s="1"/>
  <c r="D48" i="2"/>
  <c r="A48" i="2"/>
  <c r="H47" i="2"/>
  <c r="B47" i="2" s="1"/>
  <c r="D47" i="2"/>
  <c r="A47" i="2"/>
  <c r="H46" i="2"/>
  <c r="B46" i="2" s="1"/>
  <c r="D46" i="2"/>
  <c r="A46" i="2"/>
  <c r="H45" i="2"/>
  <c r="B45" i="2" s="1"/>
  <c r="D45" i="2"/>
  <c r="A45" i="2"/>
  <c r="H44" i="2"/>
  <c r="B44" i="2" s="1"/>
  <c r="D44" i="2"/>
  <c r="A44" i="2"/>
  <c r="H43" i="2"/>
  <c r="B43" i="2" s="1"/>
  <c r="D43" i="2"/>
  <c r="A43" i="2"/>
  <c r="H42" i="2"/>
  <c r="B42" i="2" s="1"/>
  <c r="D42" i="2"/>
  <c r="A42" i="2"/>
  <c r="H41" i="2"/>
  <c r="B41" i="2" s="1"/>
  <c r="D41" i="2"/>
  <c r="A41" i="2"/>
  <c r="H40" i="2"/>
  <c r="B40" i="2" s="1"/>
  <c r="D40" i="2"/>
  <c r="A40" i="2"/>
  <c r="H39" i="2"/>
  <c r="B39" i="2" s="1"/>
  <c r="D39" i="2"/>
  <c r="A39" i="2"/>
  <c r="H38" i="2"/>
  <c r="B38" i="2" s="1"/>
  <c r="D38" i="2"/>
  <c r="A38" i="2"/>
  <c r="H37" i="2"/>
  <c r="B37" i="2" s="1"/>
  <c r="D37" i="2"/>
  <c r="A37" i="2"/>
  <c r="H36" i="2"/>
  <c r="B36" i="2" s="1"/>
  <c r="D36" i="2"/>
  <c r="A36" i="2"/>
  <c r="H35" i="2"/>
  <c r="B35" i="2" s="1"/>
  <c r="D35" i="2"/>
  <c r="A35" i="2"/>
  <c r="H34" i="2"/>
  <c r="B34" i="2" s="1"/>
  <c r="D34" i="2"/>
  <c r="A34" i="2"/>
  <c r="H33" i="2"/>
  <c r="B33" i="2" s="1"/>
  <c r="D33" i="2"/>
  <c r="A33" i="2"/>
  <c r="Q68" i="1"/>
  <c r="Q69" i="1"/>
  <c r="Q56" i="1"/>
  <c r="Q57" i="1"/>
  <c r="Q65" i="1"/>
  <c r="Q66" i="1"/>
  <c r="Q67" i="1"/>
  <c r="Q48" i="1"/>
  <c r="Q49" i="1"/>
  <c r="Q59" i="1"/>
  <c r="Q60" i="1"/>
  <c r="Q63" i="1"/>
  <c r="F16" i="1"/>
  <c r="F17" i="1" s="1"/>
  <c r="C17" i="1"/>
  <c r="Q58" i="1"/>
  <c r="Q55" i="1"/>
  <c r="Q54" i="1"/>
  <c r="Q52" i="1"/>
  <c r="Q51" i="1"/>
  <c r="Q38" i="1"/>
  <c r="Q46" i="1"/>
  <c r="Q47" i="1"/>
  <c r="Q50" i="1"/>
  <c r="Q53" i="1"/>
  <c r="E32" i="1"/>
  <c r="F32" i="1"/>
  <c r="G32" i="1" s="1"/>
  <c r="I32" i="1" s="1"/>
  <c r="E62" i="1"/>
  <c r="F62" i="1"/>
  <c r="G62" i="1" s="1"/>
  <c r="K62" i="1" s="1"/>
  <c r="E34" i="1"/>
  <c r="F34" i="1" s="1"/>
  <c r="G34" i="1" s="1"/>
  <c r="I34" i="1" s="1"/>
  <c r="E48" i="1"/>
  <c r="F48" i="1"/>
  <c r="G48" i="1" s="1"/>
  <c r="I48" i="1" s="1"/>
  <c r="E68" i="1"/>
  <c r="F68" i="1"/>
  <c r="G68" i="1" s="1"/>
  <c r="J68" i="1" s="1"/>
  <c r="E39" i="1"/>
  <c r="E63" i="1"/>
  <c r="E72" i="1"/>
  <c r="F72" i="1"/>
  <c r="E40" i="1"/>
  <c r="F40" i="1" s="1"/>
  <c r="G40" i="1" s="1"/>
  <c r="I40" i="1" s="1"/>
  <c r="E35" i="1"/>
  <c r="F35" i="1" s="1"/>
  <c r="G35" i="1" s="1"/>
  <c r="I35" i="1" s="1"/>
  <c r="E29" i="1"/>
  <c r="F29" i="1" s="1"/>
  <c r="G29" i="1" s="1"/>
  <c r="I29" i="1" s="1"/>
  <c r="E23" i="1"/>
  <c r="F23" i="1" s="1"/>
  <c r="G23" i="1" s="1"/>
  <c r="I23" i="1" s="1"/>
  <c r="E57" i="1"/>
  <c r="F57" i="1" s="1"/>
  <c r="G57" i="1" s="1"/>
  <c r="K57" i="1" s="1"/>
  <c r="E50" i="1"/>
  <c r="F50" i="1"/>
  <c r="G50" i="1" s="1"/>
  <c r="K50" i="1" s="1"/>
  <c r="E64" i="1"/>
  <c r="F64" i="1" s="1"/>
  <c r="G64" i="1" s="1"/>
  <c r="K64" i="1" s="1"/>
  <c r="E41" i="1"/>
  <c r="F41" i="1"/>
  <c r="G41" i="1" s="1"/>
  <c r="J41" i="1" s="1"/>
  <c r="E26" i="1"/>
  <c r="F63" i="1"/>
  <c r="G63" i="1" s="1"/>
  <c r="K63" i="1" s="1"/>
  <c r="E54" i="1"/>
  <c r="F54" i="1"/>
  <c r="G54" i="1" s="1"/>
  <c r="J54" i="1" s="1"/>
  <c r="E37" i="1"/>
  <c r="F37" i="1"/>
  <c r="G37" i="1" s="1"/>
  <c r="I37" i="1" s="1"/>
  <c r="E45" i="1"/>
  <c r="F45" i="1" s="1"/>
  <c r="G45" i="1" s="1"/>
  <c r="J45" i="1" s="1"/>
  <c r="E28" i="1"/>
  <c r="F28" i="1" s="1"/>
  <c r="G28" i="1" s="1"/>
  <c r="I28" i="1" s="1"/>
  <c r="E58" i="1"/>
  <c r="F58" i="1" s="1"/>
  <c r="G58" i="1" s="1"/>
  <c r="K58" i="1" s="1"/>
  <c r="F39" i="1"/>
  <c r="E22" i="1"/>
  <c r="E47" i="1"/>
  <c r="F47" i="1" s="1"/>
  <c r="G47" i="1" s="1"/>
  <c r="J47" i="1" s="1"/>
  <c r="E53" i="1"/>
  <c r="F53" i="1"/>
  <c r="G53" i="1" s="1"/>
  <c r="K53" i="1" s="1"/>
  <c r="E24" i="1"/>
  <c r="G72" i="1"/>
  <c r="K72" i="1" s="1"/>
  <c r="E44" i="1"/>
  <c r="F44" i="1" s="1"/>
  <c r="G44" i="1" s="1"/>
  <c r="J44" i="1" s="1"/>
  <c r="E27" i="1"/>
  <c r="F27" i="1" s="1"/>
  <c r="G27" i="1" s="1"/>
  <c r="I27" i="1" s="1"/>
  <c r="E67" i="1"/>
  <c r="F67" i="1" s="1"/>
  <c r="G67" i="1" s="1"/>
  <c r="J67" i="1" s="1"/>
  <c r="E61" i="1"/>
  <c r="F61" i="1" s="1"/>
  <c r="G61" i="1" s="1"/>
  <c r="K61" i="1" s="1"/>
  <c r="E25" i="1"/>
  <c r="F25" i="1" s="1"/>
  <c r="G25" i="1" s="1"/>
  <c r="I25" i="1" s="1"/>
  <c r="E42" i="1"/>
  <c r="F42" i="1"/>
  <c r="G42" i="1" s="1"/>
  <c r="J42" i="1" s="1"/>
  <c r="E51" i="1"/>
  <c r="E31" i="1"/>
  <c r="E52" i="1"/>
  <c r="F52" i="1"/>
  <c r="G52" i="1" s="1"/>
  <c r="J52" i="1" s="1"/>
  <c r="E65" i="1"/>
  <c r="F65" i="1" s="1"/>
  <c r="G65" i="1" s="1"/>
  <c r="J65" i="1" s="1"/>
  <c r="E43" i="1"/>
  <c r="E55" i="1"/>
  <c r="F55" i="1" s="1"/>
  <c r="G55" i="1" s="1"/>
  <c r="K55" i="1" s="1"/>
  <c r="E38" i="1"/>
  <c r="F38" i="1"/>
  <c r="G38" i="1" s="1"/>
  <c r="H38" i="1" s="1"/>
  <c r="E36" i="1"/>
  <c r="F36" i="1" s="1"/>
  <c r="G36" i="1" s="1"/>
  <c r="I36" i="1" s="1"/>
  <c r="E66" i="1"/>
  <c r="F66" i="1" s="1"/>
  <c r="G66" i="1" s="1"/>
  <c r="J66" i="1" s="1"/>
  <c r="E70" i="1"/>
  <c r="F70" i="1" s="1"/>
  <c r="G70" i="1" s="1"/>
  <c r="I70" i="1" s="1"/>
  <c r="E30" i="1"/>
  <c r="F30" i="1"/>
  <c r="G30" i="1" s="1"/>
  <c r="I30" i="1" s="1"/>
  <c r="E21" i="1"/>
  <c r="F21" i="1"/>
  <c r="E46" i="1"/>
  <c r="F46" i="1" s="1"/>
  <c r="G46" i="1" s="1"/>
  <c r="J46" i="1" s="1"/>
  <c r="E56" i="1"/>
  <c r="F56" i="1" s="1"/>
  <c r="G56" i="1" s="1"/>
  <c r="K56" i="1" s="1"/>
  <c r="E69" i="1"/>
  <c r="F69" i="1" s="1"/>
  <c r="G69" i="1" s="1"/>
  <c r="J69" i="1" s="1"/>
  <c r="E59" i="1"/>
  <c r="F59" i="1"/>
  <c r="G59" i="1"/>
  <c r="K59" i="1" s="1"/>
  <c r="E33" i="1"/>
  <c r="E49" i="1"/>
  <c r="G39" i="1"/>
  <c r="I39" i="1"/>
  <c r="E60" i="1"/>
  <c r="F60" i="1"/>
  <c r="G60" i="1" s="1"/>
  <c r="K60" i="1" s="1"/>
  <c r="G21" i="1"/>
  <c r="I21" i="1" s="1"/>
  <c r="E71" i="1"/>
  <c r="F71" i="1"/>
  <c r="G71" i="1" s="1"/>
  <c r="K71" i="1" s="1"/>
  <c r="F22" i="1"/>
  <c r="G22" i="1" s="1"/>
  <c r="I22" i="1" s="1"/>
  <c r="F43" i="1"/>
  <c r="G43" i="1" s="1"/>
  <c r="J43" i="1" s="1"/>
  <c r="F33" i="1"/>
  <c r="G33" i="1"/>
  <c r="I33" i="1"/>
  <c r="F24" i="1"/>
  <c r="G24" i="1"/>
  <c r="I24" i="1" s="1"/>
  <c r="F26" i="1"/>
  <c r="G26" i="1"/>
  <c r="I26" i="1" s="1"/>
  <c r="F51" i="1"/>
  <c r="G51" i="1"/>
  <c r="K51" i="1" s="1"/>
  <c r="F49" i="1"/>
  <c r="G49" i="1"/>
  <c r="I49" i="1"/>
  <c r="F31" i="1"/>
  <c r="G31" i="1" s="1"/>
  <c r="I31" i="1" s="1"/>
  <c r="C12" i="1"/>
  <c r="C11" i="1"/>
  <c r="O74" i="1" l="1"/>
  <c r="O24" i="1"/>
  <c r="O26" i="1"/>
  <c r="O46" i="1"/>
  <c r="O44" i="1"/>
  <c r="O57" i="1"/>
  <c r="O33" i="1"/>
  <c r="O41" i="1"/>
  <c r="O30" i="1"/>
  <c r="O67" i="1"/>
  <c r="O35" i="1"/>
  <c r="O52" i="1"/>
  <c r="O21" i="1"/>
  <c r="O48" i="1"/>
  <c r="O60" i="1"/>
  <c r="O40" i="1"/>
  <c r="O54" i="1"/>
  <c r="O56" i="1"/>
  <c r="O34" i="1"/>
  <c r="O49" i="1"/>
  <c r="O50" i="1"/>
  <c r="O70" i="1"/>
  <c r="O45" i="1"/>
  <c r="O68" i="1"/>
  <c r="O66" i="1"/>
  <c r="O51" i="1"/>
  <c r="O47" i="1"/>
  <c r="O39" i="1"/>
  <c r="O73" i="1"/>
  <c r="O32" i="1"/>
  <c r="O36" i="1"/>
  <c r="O65" i="1"/>
  <c r="O37" i="1"/>
  <c r="O28" i="1"/>
  <c r="O64" i="1"/>
  <c r="O58" i="1"/>
  <c r="C15" i="1"/>
  <c r="O59" i="1"/>
  <c r="O22" i="1"/>
  <c r="O72" i="1"/>
  <c r="O23" i="1"/>
  <c r="O25" i="1"/>
  <c r="O69" i="1"/>
  <c r="O42" i="1"/>
  <c r="O31" i="1"/>
  <c r="O63" i="1"/>
  <c r="O27" i="1"/>
  <c r="O38" i="1"/>
  <c r="O61" i="1"/>
  <c r="O43" i="1"/>
  <c r="O55" i="1"/>
  <c r="O71" i="1"/>
  <c r="O62" i="1"/>
  <c r="O53" i="1"/>
  <c r="O2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<sst xmlns="http://schemas.openxmlformats.org/spreadsheetml/2006/main" count="566" uniqueCount="281">
  <si>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</si>
  <si>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</si>
  <si>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</si>
  <si>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</si>
  <si>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</si>
  <si>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</si>
  <si>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</si>
  <si>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</si>
  <si>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</si>
  <si>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</si>
  <si>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</si>
  <si>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</si>
  <si>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</si>
  <si>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</si>
  <si>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</si>
  <si>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</si>
  <si>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</si>
  <si>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</si>
  <si>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</si>
  <si>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</si>
  <si>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</si>
  <si>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</si>
  <si>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</si>
  <si>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</si>
  <si>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</si>
  <si>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</si>
  <si>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</si>
  <si>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</si>
  <si>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</si>
  <si>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4222</t>
  </si>
  <si>
    <t>IBVS 5594</t>
  </si>
  <si>
    <t>I</t>
  </si>
  <si>
    <t>EA/DM</t>
  </si>
  <si>
    <t>DN Cas / GSC 4046-1808</t>
  </si>
  <si>
    <t>IBVS 5694</t>
  </si>
  <si>
    <t>II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</si>
  <si>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</si>
  <si>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</si>
  <si>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</si>
  <si>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</si>
  <si>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</si>
  <si>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</si>
  <si>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</si>
  <si>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</si>
  <si>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IBVS 5753</t>
  </si>
  <si>
    <t>IBVS 5761</t>
  </si>
  <si>
    <t>Start of linear fit &gt;&gt;&gt;&gt;&gt;&gt;&gt;&gt;&gt;&gt;&gt;&gt;&gt;&gt;&gt;&gt;&gt;&gt;&gt;&gt;&gt;</t>
  </si>
  <si>
    <t>IBVS 5933</t>
  </si>
  <si>
    <t>Add cycle</t>
  </si>
  <si>
    <t>Old Cycle</t>
  </si>
  <si>
    <t>IBVS 5929</t>
  </si>
  <si>
    <t>IBVS 6007</t>
  </si>
  <si>
    <t>IBVS 6011</t>
  </si>
  <si>
    <t>JAVSO..39..177</t>
  </si>
  <si>
    <t>IBVS 6114</t>
  </si>
  <si>
    <t>IBVS 6118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</si>
  <si>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</si>
  <si>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</si>
  <si>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</si>
  <si>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</si>
  <si>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</si>
  <si>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</si>
  <si>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</si>
  <si>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</si>
  <si>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</si>
  <si>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</si>
  <si>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</si>
  <si>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</si>
  <si>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</si>
  <si>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</si>
  <si>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2428180.31 </t>
  </si>
  <si>
    <t> 12.01.1936 19:26 </t>
  </si>
  <si>
    <t> 12.71 </t>
  </si>
  <si>
    <t>P </t>
  </si>
  <si>
    <t> C.Hoffmeister </t>
  </si>
  <si>
    <t> VSS 1.81 </t>
  </si>
  <si>
    <t>2428427.60 </t>
  </si>
  <si>
    <t> 16.09.1936 02:24 </t>
  </si>
  <si>
    <t> 12.73 </t>
  </si>
  <si>
    <t>2428835.51 </t>
  </si>
  <si>
    <t> 29.10.1937 00:14 </t>
  </si>
  <si>
    <t> 12.76 </t>
  </si>
  <si>
    <t>2428865.42 </t>
  </si>
  <si>
    <t> 27.11.1937 22:04 </t>
  </si>
  <si>
    <t> 12.62 </t>
  </si>
  <si>
    <t>2429103.48 </t>
  </si>
  <si>
    <t> 23.07.1938 23:31 </t>
  </si>
  <si>
    <t> 12.66 </t>
  </si>
  <si>
    <t>2429163.59 </t>
  </si>
  <si>
    <t> 22.09.1938 02:09 </t>
  </si>
  <si>
    <t> 12.68 </t>
  </si>
  <si>
    <t>2429646.65 </t>
  </si>
  <si>
    <t> 18.01.1940 03:36 </t>
  </si>
  <si>
    <t> 12.75 </t>
  </si>
  <si>
    <t>2429697.48 </t>
  </si>
  <si>
    <t> 08.03.1940 23:31 </t>
  </si>
  <si>
    <t> 12.74 </t>
  </si>
  <si>
    <t>2429957.47 </t>
  </si>
  <si>
    <t> 23.11.1940 23:16 </t>
  </si>
  <si>
    <t>2430023.40 </t>
  </si>
  <si>
    <t> 28.01.1941 21:36 </t>
  </si>
  <si>
    <t> 12.82 </t>
  </si>
  <si>
    <t>2430321.38 </t>
  </si>
  <si>
    <t> 22.11.1941 21:07 </t>
  </si>
  <si>
    <t>2430372.26 </t>
  </si>
  <si>
    <t> 12.01.1942 18:14 </t>
  </si>
  <si>
    <t> 12.72 </t>
  </si>
  <si>
    <t>2430582.53 </t>
  </si>
  <si>
    <t> 11.08.1942 00:43 </t>
  </si>
  <si>
    <t> 12.69 </t>
  </si>
  <si>
    <t>2430590.55 </t>
  </si>
  <si>
    <t> 19.08.1942 01:12 </t>
  </si>
  <si>
    <t> 12.63 </t>
  </si>
  <si>
    <t>2439024.484 </t>
  </si>
  <si>
    <t> 20.09.1965 23:36 </t>
  </si>
  <si>
    <t> 0.020 </t>
  </si>
  <si>
    <t> K.Häussler </t>
  </si>
  <si>
    <t> HABZ 88 </t>
  </si>
  <si>
    <t>2439053.394 </t>
  </si>
  <si>
    <t> 19.10.1965 21:27 </t>
  </si>
  <si>
    <t> 0.043 </t>
  </si>
  <si>
    <t>2439061.403 </t>
  </si>
  <si>
    <t> 27.10.1965 21:40 </t>
  </si>
  <si>
    <t> -0.036 </t>
  </si>
  <si>
    <t>2441388.571 </t>
  </si>
  <si>
    <t> 12.03.1972 01:42 </t>
  </si>
  <si>
    <t> 0.000 </t>
  </si>
  <si>
    <t>E </t>
  </si>
  <si>
    <t>?</t>
  </si>
  <si>
    <t> Frazier &amp; Hall </t>
  </si>
  <si>
    <t> PASP 86.666 </t>
  </si>
  <si>
    <t>2441602.365 </t>
  </si>
  <si>
    <t> 11.10.1972 20:45 </t>
  </si>
  <si>
    <t> 0.031 </t>
  </si>
  <si>
    <t>2444191.765 </t>
  </si>
  <si>
    <t> 14.11.1979 06:21 </t>
  </si>
  <si>
    <t> 0.006 </t>
  </si>
  <si>
    <t> T.J.Davidge </t>
  </si>
  <si>
    <t>IBVS 1817 </t>
  </si>
  <si>
    <t>2445044.4772 </t>
  </si>
  <si>
    <t> 15.03.1982 23:27 </t>
  </si>
  <si>
    <t> -0.0246 </t>
  </si>
  <si>
    <t>B</t>
  </si>
  <si>
    <t> M.Fernandes </t>
  </si>
  <si>
    <t>BAVM 34 </t>
  </si>
  <si>
    <t>2445653.461 </t>
  </si>
  <si>
    <t> 14.11.1983 23:03 </t>
  </si>
  <si>
    <t> 0.023 </t>
  </si>
  <si>
    <t> P.Frank </t>
  </si>
  <si>
    <t>BAVM 52 </t>
  </si>
  <si>
    <t>2447928.5576 </t>
  </si>
  <si>
    <t> 06.02.1990 01:22 </t>
  </si>
  <si>
    <t> -0.0161 </t>
  </si>
  <si>
    <t>B;V</t>
  </si>
  <si>
    <t> F.Agerer </t>
  </si>
  <si>
    <t>BAVM 56 </t>
  </si>
  <si>
    <t>2448619.5314 </t>
  </si>
  <si>
    <t> 29.12.1991 00:45 </t>
  </si>
  <si>
    <t> -0.0178 </t>
  </si>
  <si>
    <t>G</t>
  </si>
  <si>
    <t>BAVM 60 </t>
  </si>
  <si>
    <t>2448619.5317 </t>
  </si>
  <si>
    <t> -0.0175 </t>
  </si>
  <si>
    <t>2449615.5480 </t>
  </si>
  <si>
    <t> 20.09.1994 01:09 </t>
  </si>
  <si>
    <t> -0.0228 </t>
  </si>
  <si>
    <t>BAVM 80 </t>
  </si>
  <si>
    <t>2449615.5516 </t>
  </si>
  <si>
    <t> 20.09.1994 01:14 </t>
  </si>
  <si>
    <t> -0.0192 </t>
  </si>
  <si>
    <t>2450842.660 </t>
  </si>
  <si>
    <t> 29.01.1998 03:50 </t>
  </si>
  <si>
    <t> -0.028 </t>
  </si>
  <si>
    <t>C </t>
  </si>
  <si>
    <t>o</t>
  </si>
  <si>
    <t> S.Cook </t>
  </si>
  <si>
    <t> JAAVSO 39;177 </t>
  </si>
  <si>
    <t>2451466.618 </t>
  </si>
  <si>
    <t> 15.10.1999 02:49 </t>
  </si>
  <si>
    <t>2452587.4405 </t>
  </si>
  <si>
    <t> 08.11.2002 22:34 </t>
  </si>
  <si>
    <t> -0.0184 </t>
  </si>
  <si>
    <t> Sarounova &amp; Wolf </t>
  </si>
  <si>
    <t>IBVS 5594 </t>
  </si>
  <si>
    <t>2453314.2254 </t>
  </si>
  <si>
    <t> 04.11.2004 17:24 </t>
  </si>
  <si>
    <t> -0.0289 </t>
  </si>
  <si>
    <t> C.-H.Kim et al. </t>
  </si>
  <si>
    <t>IBVS 5694 </t>
  </si>
  <si>
    <t>2453657.4062 </t>
  </si>
  <si>
    <t> 13.10.2005 21:44 </t>
  </si>
  <si>
    <t> -0.0249 </t>
  </si>
  <si>
    <t> H.Jungbluth </t>
  </si>
  <si>
    <t>BAVM 178 </t>
  </si>
  <si>
    <t>2453980.9378 </t>
  </si>
  <si>
    <t> 02.09.2006 10:30 </t>
  </si>
  <si>
    <t> -0.0270 </t>
  </si>
  <si>
    <t>R</t>
  </si>
  <si>
    <t> R.Nelson </t>
  </si>
  <si>
    <t>IBVS 5760 </t>
  </si>
  <si>
    <t>2454050.2669 </t>
  </si>
  <si>
    <t> 10.11.2006 18:24 </t>
  </si>
  <si>
    <t> -0.0265 </t>
  </si>
  <si>
    <t> U.Schmidt </t>
  </si>
  <si>
    <t>BAVM 183 </t>
  </si>
  <si>
    <t>2454066.4437 </t>
  </si>
  <si>
    <t> 26.11.2006 22:38 </t>
  </si>
  <si>
    <t> -0.0264 </t>
  </si>
  <si>
    <t> I.Biro et al. </t>
  </si>
  <si>
    <t>IBVS 5753 </t>
  </si>
  <si>
    <t>2454750.48812 </t>
  </si>
  <si>
    <t> 10.10.2008 23:42 </t>
  </si>
  <si>
    <t> -0.02469 </t>
  </si>
  <si>
    <t>BVRI</t>
  </si>
  <si>
    <t> R.Uhlar </t>
  </si>
  <si>
    <t>IBVS 6114 </t>
  </si>
  <si>
    <t>2454758.57793 </t>
  </si>
  <si>
    <t> 19.10.2008 01:52 </t>
  </si>
  <si>
    <t> -0.02322 </t>
  </si>
  <si>
    <t>2454838.3062 </t>
  </si>
  <si>
    <t> 06.01.2009 19:20 </t>
  </si>
  <si>
    <t> -0.0229 </t>
  </si>
  <si>
    <t> Lampens &amp; van Cauteren </t>
  </si>
  <si>
    <t>IBVS 5933 </t>
  </si>
  <si>
    <t>2455087.890 </t>
  </si>
  <si>
    <t> 13.09.2009 09:21 </t>
  </si>
  <si>
    <t> -0.022 </t>
  </si>
  <si>
    <t>IBVS 5929 </t>
  </si>
  <si>
    <t>2455872.46075 </t>
  </si>
  <si>
    <t> 06.11.2011 23:03 </t>
  </si>
  <si>
    <t> -0.02071 </t>
  </si>
  <si>
    <t>V;R</t>
  </si>
  <si>
    <t> H.Kucáková </t>
  </si>
  <si>
    <t>IBVS 6007 </t>
  </si>
  <si>
    <t>2455879.3873 </t>
  </si>
  <si>
    <t> 13.11.2011 21:17 </t>
  </si>
  <si>
    <t>-I</t>
  </si>
  <si>
    <t>BAVM 225 </t>
  </si>
  <si>
    <t>2455880.5433 </t>
  </si>
  <si>
    <t> 15.11.2011 01:02 </t>
  </si>
  <si>
    <t>6271</t>
  </si>
  <si>
    <t>-U;-I</t>
  </si>
  <si>
    <t> M.&amp; K.Rätz </t>
  </si>
  <si>
    <t>2455903.6532 </t>
  </si>
  <si>
    <t> 08.12.2011 03:40 </t>
  </si>
  <si>
    <t>6281</t>
  </si>
  <si>
    <t> -0.0262 </t>
  </si>
  <si>
    <t> R.Diethelm </t>
  </si>
  <si>
    <t>IBVS 6011 </t>
  </si>
  <si>
    <t>2455953.3388 </t>
  </si>
  <si>
    <t> 26.01.2012 20:07 </t>
  </si>
  <si>
    <t>6302.5</t>
  </si>
  <si>
    <t> -0.0261 </t>
  </si>
  <si>
    <t> L.Pagel </t>
  </si>
  <si>
    <t>2456585.3814 </t>
  </si>
  <si>
    <t> 19.10.2013 21:09 </t>
  </si>
  <si>
    <t>6576</t>
  </si>
  <si>
    <t> -0.0297 </t>
  </si>
  <si>
    <t>BAVM 234 </t>
  </si>
  <si>
    <t>2456592.3166 </t>
  </si>
  <si>
    <t> 26.10.2013 19:35 </t>
  </si>
  <si>
    <t>6579</t>
  </si>
  <si>
    <t> -0.0273 </t>
  </si>
  <si>
    <t>2456644.3099 </t>
  </si>
  <si>
    <t> 17.12.2013 19:26 </t>
  </si>
  <si>
    <t>6601.5</t>
  </si>
  <si>
    <t> -0.0305 </t>
  </si>
  <si>
    <t>2456682.4393 </t>
  </si>
  <si>
    <t> 24.01.2014 22:32 </t>
  </si>
  <si>
    <t>6618</t>
  </si>
  <si>
    <t> -0.0319 </t>
  </si>
  <si>
    <t>BAVM 238 </t>
  </si>
  <si>
    <t>2456934.3399 </t>
  </si>
  <si>
    <t> 03.10.2014 20:09 </t>
  </si>
  <si>
    <t>6727</t>
  </si>
  <si>
    <t> -0.0254 </t>
  </si>
  <si>
    <t>BAVM 239 </t>
  </si>
  <si>
    <t>IBVS 1817</t>
  </si>
  <si>
    <t>IBVS 6230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</si>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</sst>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 vertical="center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14" fontId="9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16" fillId="0" borderId="0" xfId="0" applyFont="1" applyAlignment="1"/>
    <xf numFmtId="0" fontId="5" fillId="0" borderId="0" xfId="0" applyFont="1">
      <alignment vertical="top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7" fillId="0" borderId="0" xfId="42" applyFont="1" applyAlignment="1">
      <alignment horizontal="left" vertical="center" wrapText="1"/>
    </xf>
    <xf numFmtId="0" fontId="37" fillId="0" borderId="0" xfId="42" applyFont="1" applyAlignment="1">
      <alignment horizontal="center" vertical="center" wrapText="1"/>
    </xf>
    <xf numFmtId="0" fontId="37" fillId="0" borderId="0" xfId="42" applyFont="1" applyAlignment="1">
      <alignment horizontal="left" wrapText="1"/>
    </xf>
    <xf numFmtId="0" fontId="38" fillId="0" borderId="0" xfId="0" applyFont="1" applyAlignment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5" fontId="40" fillId="0" borderId="0" xfId="0" applyNumberFormat="1" applyFont="1" applyAlignment="1">
      <alignment vertical="center" wrapText="1"/>
    </xf>
    <xf numFmtId="0" fontId="40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Cas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769252958613219"/>
          <c:w val="0.7561991099955509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D1-42AC-8A58-65A6EA776A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2.3024999973131344E-3</c:v>
                </c:pt>
                <c:pt idx="1">
                  <c:v>2.0117499996558763E-2</c:v>
                </c:pt>
                <c:pt idx="2">
                  <c:v>4.6559999991586665E-2</c:v>
                </c:pt>
                <c:pt idx="3">
                  <c:v>-8.5855000004812609E-2</c:v>
                </c:pt>
                <c:pt idx="4">
                  <c:v>-5.422000000544358E-2</c:v>
                </c:pt>
                <c:pt idx="5">
                  <c:v>-2.9050000004644971E-2</c:v>
                </c:pt>
                <c:pt idx="6">
                  <c:v>4.1354999997565756E-2</c:v>
                </c:pt>
                <c:pt idx="7">
                  <c:v>3.0344999995577382E-2</c:v>
                </c:pt>
                <c:pt idx="8">
                  <c:v>3.7907499994616956E-2</c:v>
                </c:pt>
                <c:pt idx="9">
                  <c:v>0.10568999999668449</c:v>
                </c:pt>
                <c:pt idx="10">
                  <c:v>-2.7505000001838198E-2</c:v>
                </c:pt>
                <c:pt idx="11">
                  <c:v>1.1484999991807854E-2</c:v>
                </c:pt>
                <c:pt idx="12">
                  <c:v>-1.5420000003359746E-2</c:v>
                </c:pt>
                <c:pt idx="13">
                  <c:v>-8.3762500002194429E-2</c:v>
                </c:pt>
                <c:pt idx="14">
                  <c:v>1.9964999992225785E-2</c:v>
                </c:pt>
                <c:pt idx="15">
                  <c:v>4.3027499996242113E-2</c:v>
                </c:pt>
                <c:pt idx="16">
                  <c:v>-3.6315000004833564E-2</c:v>
                </c:pt>
                <c:pt idx="18">
                  <c:v>3.066249999392312E-2</c:v>
                </c:pt>
                <c:pt idx="19">
                  <c:v>5.5849999989732169E-3</c:v>
                </c:pt>
                <c:pt idx="27">
                  <c:v>-2.7904999995371327E-2</c:v>
                </c:pt>
                <c:pt idx="28">
                  <c:v>-2.7755000002798624E-2</c:v>
                </c:pt>
                <c:pt idx="49">
                  <c:v>-1.6697500002919696E-2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1-42AC-8A58-65A6EA776A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">
                  <c:v>-2.4610000000393484E-2</c:v>
                </c:pt>
                <c:pt idx="21">
                  <c:v>2.2547499997017439E-2</c:v>
                </c:pt>
                <c:pt idx="22">
                  <c:v>-1.6050000005634502E-2</c:v>
                </c:pt>
                <c:pt idx="23">
                  <c:v>-1.7794999999750871E-2</c:v>
                </c:pt>
                <c:pt idx="24">
                  <c:v>-1.7495000000053551E-2</c:v>
                </c:pt>
                <c:pt idx="25">
                  <c:v>-2.2799999998824205E-2</c:v>
                </c:pt>
                <c:pt idx="26">
                  <c:v>-1.9200000002456363E-2</c:v>
                </c:pt>
                <c:pt idx="31">
                  <c:v>-2.4895000009564683E-2</c:v>
                </c:pt>
                <c:pt idx="33">
                  <c:v>-2.6545000000623986E-2</c:v>
                </c:pt>
                <c:pt idx="44">
                  <c:v>-2.9680000006919727E-2</c:v>
                </c:pt>
                <c:pt idx="45">
                  <c:v>-2.7345000002242159E-2</c:v>
                </c:pt>
                <c:pt idx="46">
                  <c:v>-3.0532500000845175E-2</c:v>
                </c:pt>
                <c:pt idx="47">
                  <c:v>-3.1890000005660113E-2</c:v>
                </c:pt>
                <c:pt idx="48">
                  <c:v>-2.5385000008100178E-2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D1-42AC-8A58-65A6EA776A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9">
                  <c:v>-1.8430000003718305E-2</c:v>
                </c:pt>
                <c:pt idx="30">
                  <c:v>-2.8877500000817236E-2</c:v>
                </c:pt>
                <c:pt idx="32">
                  <c:v>-2.6995000007445924E-2</c:v>
                </c:pt>
                <c:pt idx="34">
                  <c:v>-2.6429999998072162E-2</c:v>
                </c:pt>
                <c:pt idx="35">
                  <c:v>-2.4689999998372514E-2</c:v>
                </c:pt>
                <c:pt idx="36">
                  <c:v>-2.3222500007250346E-2</c:v>
                </c:pt>
                <c:pt idx="37">
                  <c:v>-2.290000000357395E-2</c:v>
                </c:pt>
                <c:pt idx="38">
                  <c:v>-2.2240000005695038E-2</c:v>
                </c:pt>
                <c:pt idx="39">
                  <c:v>-2.0712500001536682E-2</c:v>
                </c:pt>
                <c:pt idx="40">
                  <c:v>-2.7027500000258442E-2</c:v>
                </c:pt>
                <c:pt idx="41">
                  <c:v>-2.6505000008910429E-2</c:v>
                </c:pt>
                <c:pt idx="42">
                  <c:v>-2.6154999999562278E-2</c:v>
                </c:pt>
                <c:pt idx="43">
                  <c:v>-2.6087500009452924E-2</c:v>
                </c:pt>
                <c:pt idx="50">
                  <c:v>-2.9175000003306195E-2</c:v>
                </c:pt>
                <c:pt idx="51">
                  <c:v>-2.4205000001529697E-2</c:v>
                </c:pt>
                <c:pt idx="52">
                  <c:v>-2.6472500001545995E-2</c:v>
                </c:pt>
                <c:pt idx="53">
                  <c:v>-2.4780000007012859E-2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D1-42AC-8A58-65A6EA776A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D1-42AC-8A58-65A6EA776A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D1-42AC-8A58-65A6EA776A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D1-42AC-8A58-65A6EA776A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-5.72293456234837E-3</c:v>
                </c:pt>
                <c:pt idx="1">
                  <c:v>-5.9011516194332949E-3</c:v>
                </c:pt>
                <c:pt idx="2">
                  <c:v>-6.1951264846247817E-3</c:v>
                </c:pt>
                <c:pt idx="3">
                  <c:v>-6.2167790242706137E-3</c:v>
                </c:pt>
                <c:pt idx="4">
                  <c:v>-6.3883337614645142E-3</c:v>
                </c:pt>
                <c:pt idx="5">
                  <c:v>-6.4316388407561782E-3</c:v>
                </c:pt>
                <c:pt idx="6">
                  <c:v>-6.7797450550622449E-3</c:v>
                </c:pt>
                <c:pt idx="7">
                  <c:v>-6.8163878144628844E-3</c:v>
                </c:pt>
                <c:pt idx="8">
                  <c:v>-7.0037655613979684E-3</c:v>
                </c:pt>
                <c:pt idx="9">
                  <c:v>-7.0512345906215239E-3</c:v>
                </c:pt>
                <c:pt idx="10">
                  <c:v>-7.2660944071070866E-3</c:v>
                </c:pt>
                <c:pt idx="11">
                  <c:v>-7.3027371665077261E-3</c:v>
                </c:pt>
                <c:pt idx="12">
                  <c:v>-7.454304944028549E-3</c:v>
                </c:pt>
                <c:pt idx="13">
                  <c:v>-7.4601344739331958E-3</c:v>
                </c:pt>
                <c:pt idx="14">
                  <c:v>-1.3538668584507332E-2</c:v>
                </c:pt>
                <c:pt idx="15">
                  <c:v>-1.3559488334166786E-2</c:v>
                </c:pt>
                <c:pt idx="16">
                  <c:v>-1.3565317864071433E-2</c:v>
                </c:pt>
                <c:pt idx="17">
                  <c:v>-1.5242556896637033E-2</c:v>
                </c:pt>
                <c:pt idx="18">
                  <c:v>-1.5396623044116991E-2</c:v>
                </c:pt>
                <c:pt idx="19">
                  <c:v>-1.726290540359043E-2</c:v>
                </c:pt>
                <c:pt idx="20">
                  <c:v>-1.7877504413537509E-2</c:v>
                </c:pt>
                <c:pt idx="21">
                  <c:v>-1.8316384736358795E-2</c:v>
                </c:pt>
                <c:pt idx="22">
                  <c:v>-1.9956148219537378E-2</c:v>
                </c:pt>
                <c:pt idx="23">
                  <c:v>-2.0454156631391513E-2</c:v>
                </c:pt>
                <c:pt idx="24">
                  <c:v>-2.0454156631391513E-2</c:v>
                </c:pt>
                <c:pt idx="25">
                  <c:v>-2.1172021599649479E-2</c:v>
                </c:pt>
                <c:pt idx="26">
                  <c:v>-2.1172021599649479E-2</c:v>
                </c:pt>
                <c:pt idx="27">
                  <c:v>-2.2056444565183079E-2</c:v>
                </c:pt>
                <c:pt idx="28">
                  <c:v>-2.2506151157827281E-2</c:v>
                </c:pt>
                <c:pt idx="29">
                  <c:v>-2.3313957444614088E-2</c:v>
                </c:pt>
                <c:pt idx="30">
                  <c:v>-2.3837782346045947E-2</c:v>
                </c:pt>
                <c:pt idx="31">
                  <c:v>-2.408512097200026E-2</c:v>
                </c:pt>
                <c:pt idx="32">
                  <c:v>-2.4318302168186139E-2</c:v>
                </c:pt>
                <c:pt idx="33">
                  <c:v>-2.436826956736883E-2</c:v>
                </c:pt>
                <c:pt idx="34">
                  <c:v>-2.4379928627178124E-2</c:v>
                </c:pt>
                <c:pt idx="35">
                  <c:v>-2.487294029911399E-2</c:v>
                </c:pt>
                <c:pt idx="36">
                  <c:v>-2.4878769829018637E-2</c:v>
                </c:pt>
                <c:pt idx="37">
                  <c:v>-2.4936232338078727E-2</c:v>
                </c:pt>
                <c:pt idx="38">
                  <c:v>-2.5116114975136411E-2</c:v>
                </c:pt>
                <c:pt idx="39">
                  <c:v>-2.5681579375887179E-2</c:v>
                </c:pt>
                <c:pt idx="40">
                  <c:v>-2.5686576115805444E-2</c:v>
                </c:pt>
                <c:pt idx="41">
                  <c:v>-2.5687408905791825E-2</c:v>
                </c:pt>
                <c:pt idx="42">
                  <c:v>-2.5704064705519385E-2</c:v>
                </c:pt>
                <c:pt idx="43">
                  <c:v>-2.5739874674933647E-2</c:v>
                </c:pt>
                <c:pt idx="44">
                  <c:v>-2.6195410797482499E-2</c:v>
                </c:pt>
                <c:pt idx="45">
                  <c:v>-2.6200407537400765E-2</c:v>
                </c:pt>
                <c:pt idx="46">
                  <c:v>-2.6237883086787782E-2</c:v>
                </c:pt>
                <c:pt idx="47">
                  <c:v>-2.6265365156338261E-2</c:v>
                </c:pt>
                <c:pt idx="48">
                  <c:v>-2.64469133733687E-2</c:v>
                </c:pt>
                <c:pt idx="49">
                  <c:v>-2.6709242219077816E-2</c:v>
                </c:pt>
                <c:pt idx="50">
                  <c:v>-2.6710075009064194E-2</c:v>
                </c:pt>
                <c:pt idx="51">
                  <c:v>-2.56540973063367E-2</c:v>
                </c:pt>
                <c:pt idx="52">
                  <c:v>-2.8016722497691514E-2</c:v>
                </c:pt>
                <c:pt idx="53">
                  <c:v>-2.8060860366969559E-2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D1-42AC-8A58-65A6EA77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98632"/>
        <c:axId val="1"/>
      </c:scatterChart>
      <c:valAx>
        <c:axId val="555098632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1244007722174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09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Cas - O-C Diagr.</a:t>
            </a:r>
          </a:p>
        </c:rich>
      </c:tx>
      <c:layout>
        <c:manualLayout>
          <c:xMode val="edge"/>
          <c:yMode val="edge"/>
          <c:x val="0.3422680412371134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49484536082473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7-4995-BDDD-7645239EEA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2.3024999973131344E-3</c:v>
                </c:pt>
                <c:pt idx="1">
                  <c:v>2.0117499996558763E-2</c:v>
                </c:pt>
                <c:pt idx="2">
                  <c:v>4.6559999991586665E-2</c:v>
                </c:pt>
                <c:pt idx="3">
                  <c:v>-8.5855000004812609E-2</c:v>
                </c:pt>
                <c:pt idx="4">
                  <c:v>-5.422000000544358E-2</c:v>
                </c:pt>
                <c:pt idx="5">
                  <c:v>-2.9050000004644971E-2</c:v>
                </c:pt>
                <c:pt idx="6">
                  <c:v>4.1354999997565756E-2</c:v>
                </c:pt>
                <c:pt idx="7">
                  <c:v>3.0344999995577382E-2</c:v>
                </c:pt>
                <c:pt idx="8">
                  <c:v>3.7907499994616956E-2</c:v>
                </c:pt>
                <c:pt idx="9">
                  <c:v>0.10568999999668449</c:v>
                </c:pt>
                <c:pt idx="10">
                  <c:v>-2.7505000001838198E-2</c:v>
                </c:pt>
                <c:pt idx="11">
                  <c:v>1.1484999991807854E-2</c:v>
                </c:pt>
                <c:pt idx="12">
                  <c:v>-1.5420000003359746E-2</c:v>
                </c:pt>
                <c:pt idx="13">
                  <c:v>-8.3762500002194429E-2</c:v>
                </c:pt>
                <c:pt idx="14">
                  <c:v>1.9964999992225785E-2</c:v>
                </c:pt>
                <c:pt idx="15">
                  <c:v>4.3027499996242113E-2</c:v>
                </c:pt>
                <c:pt idx="16">
                  <c:v>-3.6315000004833564E-2</c:v>
                </c:pt>
                <c:pt idx="18">
                  <c:v>3.066249999392312E-2</c:v>
                </c:pt>
                <c:pt idx="19">
                  <c:v>5.5849999989732169E-3</c:v>
                </c:pt>
                <c:pt idx="27">
                  <c:v>-2.7904999995371327E-2</c:v>
                </c:pt>
                <c:pt idx="28">
                  <c:v>-2.7755000002798624E-2</c:v>
                </c:pt>
                <c:pt idx="49">
                  <c:v>-1.6697500002919696E-2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7-4995-BDDD-7645239EEA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0">
                  <c:v>-2.4610000000393484E-2</c:v>
                </c:pt>
                <c:pt idx="21">
                  <c:v>2.2547499997017439E-2</c:v>
                </c:pt>
                <c:pt idx="22">
                  <c:v>-1.6050000005634502E-2</c:v>
                </c:pt>
                <c:pt idx="23">
                  <c:v>-1.7794999999750871E-2</c:v>
                </c:pt>
                <c:pt idx="24">
                  <c:v>-1.7495000000053551E-2</c:v>
                </c:pt>
                <c:pt idx="25">
                  <c:v>-2.2799999998824205E-2</c:v>
                </c:pt>
                <c:pt idx="26">
                  <c:v>-1.9200000002456363E-2</c:v>
                </c:pt>
                <c:pt idx="31">
                  <c:v>-2.4895000009564683E-2</c:v>
                </c:pt>
                <c:pt idx="33">
                  <c:v>-2.6545000000623986E-2</c:v>
                </c:pt>
                <c:pt idx="44">
                  <c:v>-2.9680000006919727E-2</c:v>
                </c:pt>
                <c:pt idx="45">
                  <c:v>-2.7345000002242159E-2</c:v>
                </c:pt>
                <c:pt idx="46">
                  <c:v>-3.0532500000845175E-2</c:v>
                </c:pt>
                <c:pt idx="47">
                  <c:v>-3.1890000005660113E-2</c:v>
                </c:pt>
                <c:pt idx="48">
                  <c:v>-2.5385000008100178E-2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7-4995-BDDD-7645239EEA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9">
                  <c:v>-1.8430000003718305E-2</c:v>
                </c:pt>
                <c:pt idx="30">
                  <c:v>-2.8877500000817236E-2</c:v>
                </c:pt>
                <c:pt idx="32">
                  <c:v>-2.6995000007445924E-2</c:v>
                </c:pt>
                <c:pt idx="34">
                  <c:v>-2.6429999998072162E-2</c:v>
                </c:pt>
                <c:pt idx="35">
                  <c:v>-2.4689999998372514E-2</c:v>
                </c:pt>
                <c:pt idx="36">
                  <c:v>-2.3222500007250346E-2</c:v>
                </c:pt>
                <c:pt idx="37">
                  <c:v>-2.290000000357395E-2</c:v>
                </c:pt>
                <c:pt idx="38">
                  <c:v>-2.2240000005695038E-2</c:v>
                </c:pt>
                <c:pt idx="39">
                  <c:v>-2.0712500001536682E-2</c:v>
                </c:pt>
                <c:pt idx="40">
                  <c:v>-2.7027500000258442E-2</c:v>
                </c:pt>
                <c:pt idx="41">
                  <c:v>-2.6505000008910429E-2</c:v>
                </c:pt>
                <c:pt idx="42">
                  <c:v>-2.6154999999562278E-2</c:v>
                </c:pt>
                <c:pt idx="43">
                  <c:v>-2.6087500009452924E-2</c:v>
                </c:pt>
                <c:pt idx="50">
                  <c:v>-2.9175000003306195E-2</c:v>
                </c:pt>
                <c:pt idx="51">
                  <c:v>-2.4205000001529697E-2</c:v>
                </c:pt>
                <c:pt idx="52">
                  <c:v>-2.6472500001545995E-2</c:v>
                </c:pt>
                <c:pt idx="53">
                  <c:v>-2.4780000007012859E-2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7-4995-BDDD-7645239EEA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7-4995-BDDD-7645239EEA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7-4995-BDDD-7645239EEA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1E-3</c:v>
                  </c:pt>
                  <c:pt idx="26">
                    <c:v>1.7000000000000001E-2</c:v>
                  </c:pt>
                  <c:pt idx="29">
                    <c:v>8.0000000000000004E-4</c:v>
                  </c:pt>
                  <c:pt idx="30">
                    <c:v>5.0000000000000001E-4</c:v>
                  </c:pt>
                  <c:pt idx="31">
                    <c:v>3.5000000000000001E-3</c:v>
                  </c:pt>
                  <c:pt idx="32">
                    <c:v>2.0000000000000001E-4</c:v>
                  </c:pt>
                  <c:pt idx="33">
                    <c:v>5.8999999999999999E-3</c:v>
                  </c:pt>
                  <c:pt idx="34">
                    <c:v>4.0000000000000002E-4</c:v>
                  </c:pt>
                  <c:pt idx="35">
                    <c:v>2.6700000000000001E-3</c:v>
                  </c:pt>
                  <c:pt idx="36">
                    <c:v>2.1800000000000001E-3</c:v>
                  </c:pt>
                  <c:pt idx="37">
                    <c:v>6.9999999999999999E-4</c:v>
                  </c:pt>
                  <c:pt idx="38">
                    <c:v>1E-3</c:v>
                  </c:pt>
                  <c:pt idx="39">
                    <c:v>3.63E-3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5.9999999999999995E-4</c:v>
                  </c:pt>
                  <c:pt idx="43">
                    <c:v>0</c:v>
                  </c:pt>
                  <c:pt idx="44">
                    <c:v>1.4E-2</c:v>
                  </c:pt>
                  <c:pt idx="45">
                    <c:v>2.0999999999999999E-3</c:v>
                  </c:pt>
                  <c:pt idx="46">
                    <c:v>8.8999999999999999E-3</c:v>
                  </c:pt>
                  <c:pt idx="47">
                    <c:v>3.5000000000000001E-3</c:v>
                  </c:pt>
                  <c:pt idx="48">
                    <c:v>5.4999999999999997E-3</c:v>
                  </c:pt>
                  <c:pt idx="49">
                    <c:v>1.3899999999999999E-2</c:v>
                  </c:pt>
                  <c:pt idx="50">
                    <c:v>6.1999999999999998E-3</c:v>
                  </c:pt>
                  <c:pt idx="51">
                    <c:v>6.9999999999999999E-4</c:v>
                  </c:pt>
                  <c:pt idx="52">
                    <c:v>3.3E-3</c:v>
                  </c:pt>
                  <c:pt idx="5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7-4995-BDDD-7645239EEA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-5715.5</c:v>
                </c:pt>
                <c:pt idx="1">
                  <c:v>-5608.5</c:v>
                </c:pt>
                <c:pt idx="2">
                  <c:v>-5432</c:v>
                </c:pt>
                <c:pt idx="3">
                  <c:v>-5419</c:v>
                </c:pt>
                <c:pt idx="4">
                  <c:v>-5316</c:v>
                </c:pt>
                <c:pt idx="5">
                  <c:v>-5290</c:v>
                </c:pt>
                <c:pt idx="6">
                  <c:v>-5081</c:v>
                </c:pt>
                <c:pt idx="7">
                  <c:v>-5059</c:v>
                </c:pt>
                <c:pt idx="8">
                  <c:v>-4946.5</c:v>
                </c:pt>
                <c:pt idx="9">
                  <c:v>-4918</c:v>
                </c:pt>
                <c:pt idx="10">
                  <c:v>-4789</c:v>
                </c:pt>
                <c:pt idx="11">
                  <c:v>-4767</c:v>
                </c:pt>
                <c:pt idx="12">
                  <c:v>-4676</c:v>
                </c:pt>
                <c:pt idx="13">
                  <c:v>-4672.5</c:v>
                </c:pt>
                <c:pt idx="14">
                  <c:v>-1023</c:v>
                </c:pt>
                <c:pt idx="15">
                  <c:v>-1010.5</c:v>
                </c:pt>
                <c:pt idx="16">
                  <c:v>-1007</c:v>
                </c:pt>
                <c:pt idx="17">
                  <c:v>0</c:v>
                </c:pt>
                <c:pt idx="18">
                  <c:v>92.5</c:v>
                </c:pt>
                <c:pt idx="19">
                  <c:v>1213</c:v>
                </c:pt>
                <c:pt idx="20">
                  <c:v>1582</c:v>
                </c:pt>
                <c:pt idx="21">
                  <c:v>1845.5</c:v>
                </c:pt>
                <c:pt idx="22">
                  <c:v>2830</c:v>
                </c:pt>
                <c:pt idx="23">
                  <c:v>3129</c:v>
                </c:pt>
                <c:pt idx="24">
                  <c:v>3129</c:v>
                </c:pt>
                <c:pt idx="25">
                  <c:v>3560</c:v>
                </c:pt>
                <c:pt idx="26">
                  <c:v>3560</c:v>
                </c:pt>
                <c:pt idx="27">
                  <c:v>4091</c:v>
                </c:pt>
                <c:pt idx="28">
                  <c:v>4361</c:v>
                </c:pt>
                <c:pt idx="29">
                  <c:v>4846</c:v>
                </c:pt>
                <c:pt idx="30">
                  <c:v>5160.5</c:v>
                </c:pt>
                <c:pt idx="31">
                  <c:v>5309</c:v>
                </c:pt>
                <c:pt idx="32">
                  <c:v>5449</c:v>
                </c:pt>
                <c:pt idx="33">
                  <c:v>5479</c:v>
                </c:pt>
                <c:pt idx="34">
                  <c:v>5486</c:v>
                </c:pt>
                <c:pt idx="35">
                  <c:v>5782</c:v>
                </c:pt>
                <c:pt idx="36">
                  <c:v>5785.5</c:v>
                </c:pt>
                <c:pt idx="37">
                  <c:v>5820</c:v>
                </c:pt>
                <c:pt idx="38">
                  <c:v>5928</c:v>
                </c:pt>
                <c:pt idx="39">
                  <c:v>6267.5</c:v>
                </c:pt>
                <c:pt idx="40">
                  <c:v>6270.5</c:v>
                </c:pt>
                <c:pt idx="41">
                  <c:v>6271</c:v>
                </c:pt>
                <c:pt idx="42">
                  <c:v>6281</c:v>
                </c:pt>
                <c:pt idx="43">
                  <c:v>6302.5</c:v>
                </c:pt>
                <c:pt idx="44">
                  <c:v>6576</c:v>
                </c:pt>
                <c:pt idx="45">
                  <c:v>6579</c:v>
                </c:pt>
                <c:pt idx="46">
                  <c:v>6601.5</c:v>
                </c:pt>
                <c:pt idx="47">
                  <c:v>6618</c:v>
                </c:pt>
                <c:pt idx="48">
                  <c:v>6727</c:v>
                </c:pt>
                <c:pt idx="49">
                  <c:v>6884.5</c:v>
                </c:pt>
                <c:pt idx="50">
                  <c:v>6885</c:v>
                </c:pt>
                <c:pt idx="51">
                  <c:v>6251</c:v>
                </c:pt>
                <c:pt idx="52">
                  <c:v>7669.5</c:v>
                </c:pt>
                <c:pt idx="53">
                  <c:v>7696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-5.72293456234837E-3</c:v>
                </c:pt>
                <c:pt idx="1">
                  <c:v>-5.9011516194332949E-3</c:v>
                </c:pt>
                <c:pt idx="2">
                  <c:v>-6.1951264846247817E-3</c:v>
                </c:pt>
                <c:pt idx="3">
                  <c:v>-6.2167790242706137E-3</c:v>
                </c:pt>
                <c:pt idx="4">
                  <c:v>-6.3883337614645142E-3</c:v>
                </c:pt>
                <c:pt idx="5">
                  <c:v>-6.4316388407561782E-3</c:v>
                </c:pt>
                <c:pt idx="6">
                  <c:v>-6.7797450550622449E-3</c:v>
                </c:pt>
                <c:pt idx="7">
                  <c:v>-6.8163878144628844E-3</c:v>
                </c:pt>
                <c:pt idx="8">
                  <c:v>-7.0037655613979684E-3</c:v>
                </c:pt>
                <c:pt idx="9">
                  <c:v>-7.0512345906215239E-3</c:v>
                </c:pt>
                <c:pt idx="10">
                  <c:v>-7.2660944071070866E-3</c:v>
                </c:pt>
                <c:pt idx="11">
                  <c:v>-7.3027371665077261E-3</c:v>
                </c:pt>
                <c:pt idx="12">
                  <c:v>-7.454304944028549E-3</c:v>
                </c:pt>
                <c:pt idx="13">
                  <c:v>-7.4601344739331958E-3</c:v>
                </c:pt>
                <c:pt idx="14">
                  <c:v>-1.3538668584507332E-2</c:v>
                </c:pt>
                <c:pt idx="15">
                  <c:v>-1.3559488334166786E-2</c:v>
                </c:pt>
                <c:pt idx="16">
                  <c:v>-1.3565317864071433E-2</c:v>
                </c:pt>
                <c:pt idx="17">
                  <c:v>-1.5242556896637033E-2</c:v>
                </c:pt>
                <c:pt idx="18">
                  <c:v>-1.5396623044116991E-2</c:v>
                </c:pt>
                <c:pt idx="19">
                  <c:v>-1.726290540359043E-2</c:v>
                </c:pt>
                <c:pt idx="20">
                  <c:v>-1.7877504413537509E-2</c:v>
                </c:pt>
                <c:pt idx="21">
                  <c:v>-1.8316384736358795E-2</c:v>
                </c:pt>
                <c:pt idx="22">
                  <c:v>-1.9956148219537378E-2</c:v>
                </c:pt>
                <c:pt idx="23">
                  <c:v>-2.0454156631391513E-2</c:v>
                </c:pt>
                <c:pt idx="24">
                  <c:v>-2.0454156631391513E-2</c:v>
                </c:pt>
                <c:pt idx="25">
                  <c:v>-2.1172021599649479E-2</c:v>
                </c:pt>
                <c:pt idx="26">
                  <c:v>-2.1172021599649479E-2</c:v>
                </c:pt>
                <c:pt idx="27">
                  <c:v>-2.2056444565183079E-2</c:v>
                </c:pt>
                <c:pt idx="28">
                  <c:v>-2.2506151157827281E-2</c:v>
                </c:pt>
                <c:pt idx="29">
                  <c:v>-2.3313957444614088E-2</c:v>
                </c:pt>
                <c:pt idx="30">
                  <c:v>-2.3837782346045947E-2</c:v>
                </c:pt>
                <c:pt idx="31">
                  <c:v>-2.408512097200026E-2</c:v>
                </c:pt>
                <c:pt idx="32">
                  <c:v>-2.4318302168186139E-2</c:v>
                </c:pt>
                <c:pt idx="33">
                  <c:v>-2.436826956736883E-2</c:v>
                </c:pt>
                <c:pt idx="34">
                  <c:v>-2.4379928627178124E-2</c:v>
                </c:pt>
                <c:pt idx="35">
                  <c:v>-2.487294029911399E-2</c:v>
                </c:pt>
                <c:pt idx="36">
                  <c:v>-2.4878769829018637E-2</c:v>
                </c:pt>
                <c:pt idx="37">
                  <c:v>-2.4936232338078727E-2</c:v>
                </c:pt>
                <c:pt idx="38">
                  <c:v>-2.5116114975136411E-2</c:v>
                </c:pt>
                <c:pt idx="39">
                  <c:v>-2.5681579375887179E-2</c:v>
                </c:pt>
                <c:pt idx="40">
                  <c:v>-2.5686576115805444E-2</c:v>
                </c:pt>
                <c:pt idx="41">
                  <c:v>-2.5687408905791825E-2</c:v>
                </c:pt>
                <c:pt idx="42">
                  <c:v>-2.5704064705519385E-2</c:v>
                </c:pt>
                <c:pt idx="43">
                  <c:v>-2.5739874674933647E-2</c:v>
                </c:pt>
                <c:pt idx="44">
                  <c:v>-2.6195410797482499E-2</c:v>
                </c:pt>
                <c:pt idx="45">
                  <c:v>-2.6200407537400765E-2</c:v>
                </c:pt>
                <c:pt idx="46">
                  <c:v>-2.6237883086787782E-2</c:v>
                </c:pt>
                <c:pt idx="47">
                  <c:v>-2.6265365156338261E-2</c:v>
                </c:pt>
                <c:pt idx="48">
                  <c:v>-2.64469133733687E-2</c:v>
                </c:pt>
                <c:pt idx="49">
                  <c:v>-2.6709242219077816E-2</c:v>
                </c:pt>
                <c:pt idx="50">
                  <c:v>-2.6710075009064194E-2</c:v>
                </c:pt>
                <c:pt idx="51">
                  <c:v>-2.56540973063367E-2</c:v>
                </c:pt>
                <c:pt idx="52">
                  <c:v>-2.8016722497691514E-2</c:v>
                </c:pt>
                <c:pt idx="53">
                  <c:v>-2.8060860366969559E-2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7-4995-BDDD-7645239EE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97552"/>
        <c:axId val="1"/>
      </c:scatterChart>
      <c:valAx>
        <c:axId val="555097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097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89690721649486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476250</xdr:colOff>
      <xdr:row>18</xdr:row>
      <xdr:rowOff>66675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3E1810B0-A4B4-1B9F-6C7A-57C179F65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619126</xdr:colOff>
      <xdr:row>0</xdr:row>
      <xdr:rowOff>76200</xdr:rowOff>
    </xdr:from>
    <xdr:to>
      <xdr:col>26</xdr:col>
      <xdr:colOff>476251</xdr:colOff>
      <xdr:row>18</xdr:row>
      <xdr:rowOff>28575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88A48D81-25DC-F01F-41BC-4AD34F3DC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80" TargetMode="External"/><Relationship Id="rId13" Type="http://schemas.openxmlformats.org/officeDocument/2006/relationships/hyperlink" Target="http://www.konkoly.hu/cgi-bin/IBVS?5760" TargetMode="External"/><Relationship Id="rId18" Type="http://schemas.openxmlformats.org/officeDocument/2006/relationships/hyperlink" Target="http://www.konkoly.hu/cgi-bin/IBVS?5933" TargetMode="External"/><Relationship Id="rId26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6114" TargetMode="External"/><Relationship Id="rId25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1817" TargetMode="External"/><Relationship Id="rId16" Type="http://schemas.openxmlformats.org/officeDocument/2006/relationships/hyperlink" Target="http://www.konkoly.hu/cgi-bin/IBVS?6114" TargetMode="External"/><Relationship Id="rId20" Type="http://schemas.openxmlformats.org/officeDocument/2006/relationships/hyperlink" Target="http://www.konkoly.hu/cgi-bin/IBVS?6007" TargetMode="External"/><Relationship Id="rId29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konkoly.hu/cgi-bin/IBVS?5694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www.konkoly.hu/cgi-bin/IBVS?5753" TargetMode="External"/><Relationship Id="rId23" Type="http://schemas.openxmlformats.org/officeDocument/2006/relationships/hyperlink" Target="http://www.konkoly.hu/cgi-bin/IBVS?6011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konkoly.hu/cgi-bin/IBVS?5594" TargetMode="External"/><Relationship Id="rId19" Type="http://schemas.openxmlformats.org/officeDocument/2006/relationships/hyperlink" Target="http://www.konkoly.hu/cgi-bin/IBVS?5929" TargetMode="External"/><Relationship Id="rId4" Type="http://schemas.openxmlformats.org/officeDocument/2006/relationships/hyperlink" Target="http://www.bav-astro.de/sfs/BAVM_link.php?BAVMnr=52" TargetMode="External"/><Relationship Id="rId9" Type="http://schemas.openxmlformats.org/officeDocument/2006/relationships/hyperlink" Target="http://www.bav-astro.de/sfs/BAVM_link.php?BAVMnr=80" TargetMode="External"/><Relationship Id="rId14" Type="http://schemas.openxmlformats.org/officeDocument/2006/relationships/hyperlink" Target="http://www.bav-astro.de/sfs/BAVM_link.php?BAVMnr=183" TargetMode="External"/><Relationship Id="rId22" Type="http://schemas.openxmlformats.org/officeDocument/2006/relationships/hyperlink" Target="http://www.bav-astro.de/sfs/BAVM_link.php?BAVMnr=225" TargetMode="External"/><Relationship Id="rId27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2"/>
  <sheetViews>
    <sheetView tabSelected="1" workbookViewId="0">
      <pane xSplit="14" ySplit="22" topLeftCell="O67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25</v>
      </c>
      <c r="B2" s="9" t="s">
        <v>32</v>
      </c>
    </row>
    <row r="4" spans="1:6" ht="14.25" thickTop="1" thickBot="1" x14ac:dyDescent="0.25">
      <c r="A4" s="6" t="s">
        <v>1</v>
      </c>
      <c r="C4" s="2">
        <v>41388.571000000004</v>
      </c>
      <c r="D4" s="3">
        <v>2.3109549999999999</v>
      </c>
    </row>
    <row r="5" spans="1:6" ht="13.5" thickTop="1" x14ac:dyDescent="0.2">
      <c r="A5" s="12" t="s">
        <v>38</v>
      </c>
      <c r="B5" s="10"/>
      <c r="C5" s="13">
        <v>-9.5</v>
      </c>
      <c r="D5" s="10" t="s">
        <v>39</v>
      </c>
    </row>
    <row r="6" spans="1:6" x14ac:dyDescent="0.2">
      <c r="A6" s="6" t="s">
        <v>2</v>
      </c>
    </row>
    <row r="7" spans="1:6" x14ac:dyDescent="0.2">
      <c r="A7" t="s">
        <v>3</v>
      </c>
      <c r="C7">
        <v>41388.571000000004</v>
      </c>
    </row>
    <row r="8" spans="1:6" x14ac:dyDescent="0.2">
      <c r="A8" t="s">
        <v>4</v>
      </c>
      <c r="C8">
        <v>2.3109549999999999</v>
      </c>
    </row>
    <row r="9" spans="1:6" x14ac:dyDescent="0.2">
      <c r="A9" s="26" t="s">
        <v>46</v>
      </c>
      <c r="B9" s="27">
        <v>43</v>
      </c>
      <c r="C9" s="15" t="str">
        <f>"F"&amp;B9</f>
        <v>F43</v>
      </c>
      <c r="D9" s="16" t="str">
        <f>"G"&amp;B9</f>
        <v>G43</v>
      </c>
    </row>
    <row r="10" spans="1:6" ht="13.5" thickBot="1" x14ac:dyDescent="0.25">
      <c r="A10" s="10"/>
      <c r="B10" s="10"/>
      <c r="C10" s="5" t="s">
        <v>21</v>
      </c>
      <c r="D10" s="5" t="s">
        <v>22</v>
      </c>
      <c r="E10" s="10"/>
    </row>
    <row r="11" spans="1:6" x14ac:dyDescent="0.2">
      <c r="A11" s="10" t="s">
        <v>17</v>
      </c>
      <c r="B11" s="10"/>
      <c r="C11" s="14">
        <f ca="1">INTERCEPT(INDIRECT($D$9):G992,INDIRECT($C$9):F992)</f>
        <v>-1.5242556896637033E-2</v>
      </c>
      <c r="D11" s="4"/>
      <c r="E11" s="10"/>
    </row>
    <row r="12" spans="1:6" x14ac:dyDescent="0.2">
      <c r="A12" s="10" t="s">
        <v>18</v>
      </c>
      <c r="B12" s="10"/>
      <c r="C12" s="14">
        <f ca="1">SLOPE(INDIRECT($D$9):G992,INDIRECT($C$9):F992)</f>
        <v>-1.6655799727563053E-6</v>
      </c>
      <c r="D12" s="4"/>
      <c r="E12" s="10"/>
    </row>
    <row r="13" spans="1:6" x14ac:dyDescent="0.2">
      <c r="A13" s="10" t="s">
        <v>20</v>
      </c>
      <c r="B13" s="10"/>
      <c r="C13" s="4" t="s">
        <v>15</v>
      </c>
    </row>
    <row r="14" spans="1:6" x14ac:dyDescent="0.2">
      <c r="A14" s="10"/>
      <c r="B14" s="10"/>
      <c r="C14" s="10"/>
    </row>
    <row r="15" spans="1:6" x14ac:dyDescent="0.2">
      <c r="A15" s="17" t="s">
        <v>19</v>
      </c>
      <c r="B15" s="10"/>
      <c r="C15" s="18">
        <f ca="1">(C7+C11)+(C8+C12)*INT(MAX(F21:F3533))</f>
        <v>59173.652619139641</v>
      </c>
      <c r="E15" s="19" t="s">
        <v>48</v>
      </c>
      <c r="F15" s="13">
        <v>1</v>
      </c>
    </row>
    <row r="16" spans="1:6" x14ac:dyDescent="0.2">
      <c r="A16" s="21" t="s">
        <v>5</v>
      </c>
      <c r="B16" s="10"/>
      <c r="C16" s="22">
        <f ca="1">+C8+C12</f>
        <v>2.3109533344200273</v>
      </c>
      <c r="E16" s="19" t="s">
        <v>40</v>
      </c>
      <c r="F16" s="20">
        <f ca="1">NOW()+15018.5+$C$5/24</f>
        <v>60328.721225810186</v>
      </c>
    </row>
    <row r="17" spans="1:17" ht="13.5" thickBot="1" x14ac:dyDescent="0.25">
      <c r="A17" s="19" t="s">
        <v>36</v>
      </c>
      <c r="B17" s="10"/>
      <c r="C17" s="10">
        <f>COUNT(C21:C2191)</f>
        <v>54</v>
      </c>
      <c r="E17" s="19" t="s">
        <v>49</v>
      </c>
      <c r="F17" s="20">
        <f ca="1">ROUND(2*(F16-$C$7)/$C$8,0)/2+F15</f>
        <v>8197</v>
      </c>
    </row>
    <row r="18" spans="1:17" ht="14.25" thickTop="1" thickBot="1" x14ac:dyDescent="0.25">
      <c r="A18" s="21" t="s">
        <v>6</v>
      </c>
      <c r="B18" s="10"/>
      <c r="C18" s="24">
        <f ca="1">+C15</f>
        <v>59173.652619139641</v>
      </c>
      <c r="D18" s="25">
        <f ca="1">+C16</f>
        <v>2.3109533344200273</v>
      </c>
      <c r="E18" s="19" t="s">
        <v>41</v>
      </c>
      <c r="F18" s="16">
        <f ca="1">ROUND(2*(F16-$C$15)/$C$16,0)/2+F15</f>
        <v>501</v>
      </c>
    </row>
    <row r="19" spans="1:17" ht="13.5" thickTop="1" x14ac:dyDescent="0.2">
      <c r="E19" s="19" t="s">
        <v>42</v>
      </c>
      <c r="F19" s="23">
        <f ca="1">+$C$15+$C$16*F18-15018.5-$C$5/24</f>
        <v>45313.33607301741</v>
      </c>
    </row>
    <row r="20" spans="1:17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65</v>
      </c>
      <c r="I20" s="8" t="s">
        <v>68</v>
      </c>
      <c r="J20" s="8" t="s">
        <v>62</v>
      </c>
      <c r="K20" s="8" t="s">
        <v>60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17" x14ac:dyDescent="0.2">
      <c r="A21" s="63" t="s">
        <v>75</v>
      </c>
      <c r="B21" s="62" t="s">
        <v>31</v>
      </c>
      <c r="C21" s="63">
        <v>28180.31</v>
      </c>
      <c r="D21" s="63" t="s">
        <v>68</v>
      </c>
      <c r="E21" s="41">
        <f t="shared" ref="E21:E52" si="0">+(C21-C$7)/C$8</f>
        <v>-5715.4990036586623</v>
      </c>
      <c r="F21" s="28">
        <f t="shared" ref="F21:F52" si="1">ROUND(2*E21,0)/2</f>
        <v>-5715.5</v>
      </c>
      <c r="G21" s="28">
        <f t="shared" ref="G21:G52" si="2">+C21-(C$7+F21*C$8)</f>
        <v>2.3024999973131344E-3</v>
      </c>
      <c r="H21" s="28"/>
      <c r="I21" s="28">
        <f t="shared" ref="I21:I37" si="3">+G21</f>
        <v>2.3024999973131344E-3</v>
      </c>
      <c r="J21" s="28"/>
      <c r="K21" s="28"/>
      <c r="L21" s="28"/>
      <c r="M21" s="28"/>
      <c r="N21" s="28"/>
      <c r="O21" s="28">
        <f t="shared" ref="O21:O52" ca="1" si="4">+C$11+C$12*$F21</f>
        <v>-5.72293456234837E-3</v>
      </c>
      <c r="P21" s="28"/>
      <c r="Q21" s="30">
        <f t="shared" ref="Q21:Q52" si="5">+C21-15018.5</f>
        <v>13161.810000000001</v>
      </c>
    </row>
    <row r="22" spans="1:17" x14ac:dyDescent="0.2">
      <c r="A22" s="63" t="s">
        <v>75</v>
      </c>
      <c r="B22" s="62" t="s">
        <v>31</v>
      </c>
      <c r="C22" s="63">
        <v>28427.599999999999</v>
      </c>
      <c r="D22" s="63" t="s">
        <v>68</v>
      </c>
      <c r="E22" s="41">
        <f t="shared" si="0"/>
        <v>-5608.4912947244775</v>
      </c>
      <c r="F22" s="28">
        <f t="shared" si="1"/>
        <v>-5608.5</v>
      </c>
      <c r="G22" s="28">
        <f t="shared" si="2"/>
        <v>2.0117499996558763E-2</v>
      </c>
      <c r="H22" s="28"/>
      <c r="I22" s="28">
        <f t="shared" si="3"/>
        <v>2.0117499996558763E-2</v>
      </c>
      <c r="J22" s="28"/>
      <c r="K22" s="28"/>
      <c r="L22" s="28"/>
      <c r="M22" s="28"/>
      <c r="N22" s="28"/>
      <c r="O22" s="28">
        <f t="shared" ca="1" si="4"/>
        <v>-5.9011516194332949E-3</v>
      </c>
      <c r="P22" s="28"/>
      <c r="Q22" s="30">
        <f t="shared" si="5"/>
        <v>13409.099999999999</v>
      </c>
    </row>
    <row r="23" spans="1:17" x14ac:dyDescent="0.2">
      <c r="A23" s="63" t="s">
        <v>75</v>
      </c>
      <c r="B23" s="62" t="s">
        <v>35</v>
      </c>
      <c r="C23" s="63">
        <v>28835.51</v>
      </c>
      <c r="D23" s="63" t="s">
        <v>68</v>
      </c>
      <c r="E23" s="41">
        <f t="shared" si="0"/>
        <v>-5431.9798524852304</v>
      </c>
      <c r="F23" s="28">
        <f t="shared" si="1"/>
        <v>-5432</v>
      </c>
      <c r="G23" s="28">
        <f t="shared" si="2"/>
        <v>4.6559999991586665E-2</v>
      </c>
      <c r="H23" s="28"/>
      <c r="I23" s="28">
        <f t="shared" si="3"/>
        <v>4.6559999991586665E-2</v>
      </c>
      <c r="J23" s="28"/>
      <c r="K23" s="28"/>
      <c r="L23" s="28"/>
      <c r="M23" s="28"/>
      <c r="N23" s="28"/>
      <c r="O23" s="28">
        <f t="shared" ca="1" si="4"/>
        <v>-6.1951264846247817E-3</v>
      </c>
      <c r="P23" s="28"/>
      <c r="Q23" s="30">
        <f t="shared" si="5"/>
        <v>13817.009999999998</v>
      </c>
    </row>
    <row r="24" spans="1:17" x14ac:dyDescent="0.2">
      <c r="A24" s="63" t="s">
        <v>75</v>
      </c>
      <c r="B24" s="62" t="s">
        <v>35</v>
      </c>
      <c r="C24" s="63">
        <v>28865.42</v>
      </c>
      <c r="D24" s="63" t="s">
        <v>68</v>
      </c>
      <c r="E24" s="41">
        <f t="shared" si="0"/>
        <v>-5419.0371513075788</v>
      </c>
      <c r="F24" s="28">
        <f t="shared" si="1"/>
        <v>-5419</v>
      </c>
      <c r="G24" s="28">
        <f t="shared" si="2"/>
        <v>-8.5855000004812609E-2</v>
      </c>
      <c r="H24" s="28"/>
      <c r="I24" s="28">
        <f t="shared" si="3"/>
        <v>-8.5855000004812609E-2</v>
      </c>
      <c r="J24" s="28"/>
      <c r="K24" s="28"/>
      <c r="L24" s="28"/>
      <c r="M24" s="28"/>
      <c r="N24" s="28"/>
      <c r="O24" s="28">
        <f t="shared" ca="1" si="4"/>
        <v>-6.2167790242706137E-3</v>
      </c>
      <c r="P24" s="28"/>
      <c r="Q24" s="30">
        <f t="shared" si="5"/>
        <v>13846.919999999998</v>
      </c>
    </row>
    <row r="25" spans="1:17" x14ac:dyDescent="0.2">
      <c r="A25" s="63" t="s">
        <v>75</v>
      </c>
      <c r="B25" s="62" t="s">
        <v>35</v>
      </c>
      <c r="C25" s="63">
        <v>29103.48</v>
      </c>
      <c r="D25" s="63" t="s">
        <v>68</v>
      </c>
      <c r="E25" s="41">
        <f t="shared" si="0"/>
        <v>-5316.0234621617492</v>
      </c>
      <c r="F25" s="28">
        <f t="shared" si="1"/>
        <v>-5316</v>
      </c>
      <c r="G25" s="28">
        <f t="shared" si="2"/>
        <v>-5.422000000544358E-2</v>
      </c>
      <c r="H25" s="28"/>
      <c r="I25" s="28">
        <f t="shared" si="3"/>
        <v>-5.422000000544358E-2</v>
      </c>
      <c r="J25" s="28"/>
      <c r="K25" s="28"/>
      <c r="L25" s="28"/>
      <c r="M25" s="28"/>
      <c r="N25" s="28"/>
      <c r="O25" s="28">
        <f t="shared" ca="1" si="4"/>
        <v>-6.3883337614645142E-3</v>
      </c>
      <c r="P25" s="28"/>
      <c r="Q25" s="30">
        <f t="shared" si="5"/>
        <v>14084.98</v>
      </c>
    </row>
    <row r="26" spans="1:17" x14ac:dyDescent="0.2">
      <c r="A26" s="63" t="s">
        <v>75</v>
      </c>
      <c r="B26" s="62" t="s">
        <v>35</v>
      </c>
      <c r="C26" s="63">
        <v>29163.59</v>
      </c>
      <c r="D26" s="63" t="s">
        <v>68</v>
      </c>
      <c r="E26" s="41">
        <f t="shared" si="0"/>
        <v>-5290.0125705606579</v>
      </c>
      <c r="F26" s="28">
        <f t="shared" si="1"/>
        <v>-5290</v>
      </c>
      <c r="G26" s="28">
        <f t="shared" si="2"/>
        <v>-2.9050000004644971E-2</v>
      </c>
      <c r="H26" s="28"/>
      <c r="I26" s="28">
        <f t="shared" si="3"/>
        <v>-2.9050000004644971E-2</v>
      </c>
      <c r="J26" s="28"/>
      <c r="K26" s="28"/>
      <c r="L26" s="28"/>
      <c r="M26" s="28"/>
      <c r="N26" s="28"/>
      <c r="O26" s="28">
        <f t="shared" ca="1" si="4"/>
        <v>-6.4316388407561782E-3</v>
      </c>
      <c r="P26" s="28"/>
      <c r="Q26" s="30">
        <f t="shared" si="5"/>
        <v>14145.09</v>
      </c>
    </row>
    <row r="27" spans="1:17" x14ac:dyDescent="0.2">
      <c r="A27" s="63" t="s">
        <v>75</v>
      </c>
      <c r="B27" s="62" t="s">
        <v>35</v>
      </c>
      <c r="C27" s="63">
        <v>29646.65</v>
      </c>
      <c r="D27" s="63" t="s">
        <v>68</v>
      </c>
      <c r="E27" s="41">
        <f t="shared" si="0"/>
        <v>-5080.9821048008307</v>
      </c>
      <c r="F27" s="28">
        <f t="shared" si="1"/>
        <v>-5081</v>
      </c>
      <c r="G27" s="28">
        <f t="shared" si="2"/>
        <v>4.1354999997565756E-2</v>
      </c>
      <c r="H27" s="28"/>
      <c r="I27" s="28">
        <f t="shared" si="3"/>
        <v>4.1354999997565756E-2</v>
      </c>
      <c r="J27" s="28"/>
      <c r="K27" s="28"/>
      <c r="L27" s="28"/>
      <c r="M27" s="28"/>
      <c r="N27" s="28"/>
      <c r="O27" s="28">
        <f t="shared" ca="1" si="4"/>
        <v>-6.7797450550622449E-3</v>
      </c>
      <c r="P27" s="28"/>
      <c r="Q27" s="30">
        <f t="shared" si="5"/>
        <v>14628.150000000001</v>
      </c>
    </row>
    <row r="28" spans="1:17" x14ac:dyDescent="0.2">
      <c r="A28" s="63" t="s">
        <v>75</v>
      </c>
      <c r="B28" s="62" t="s">
        <v>35</v>
      </c>
      <c r="C28" s="63">
        <v>29697.48</v>
      </c>
      <c r="D28" s="63" t="s">
        <v>68</v>
      </c>
      <c r="E28" s="41">
        <f t="shared" si="0"/>
        <v>-5058.9868690649555</v>
      </c>
      <c r="F28" s="28">
        <f t="shared" si="1"/>
        <v>-5059</v>
      </c>
      <c r="G28" s="28">
        <f t="shared" si="2"/>
        <v>3.0344999995577382E-2</v>
      </c>
      <c r="H28" s="28"/>
      <c r="I28" s="28">
        <f t="shared" si="3"/>
        <v>3.0344999995577382E-2</v>
      </c>
      <c r="J28" s="28"/>
      <c r="K28" s="28"/>
      <c r="L28" s="28"/>
      <c r="M28" s="28"/>
      <c r="N28" s="28"/>
      <c r="O28" s="28">
        <f t="shared" ca="1" si="4"/>
        <v>-6.8163878144628844E-3</v>
      </c>
      <c r="P28" s="28"/>
      <c r="Q28" s="30">
        <f t="shared" si="5"/>
        <v>14678.98</v>
      </c>
    </row>
    <row r="29" spans="1:17" x14ac:dyDescent="0.2">
      <c r="A29" s="63" t="s">
        <v>75</v>
      </c>
      <c r="B29" s="62" t="s">
        <v>31</v>
      </c>
      <c r="C29" s="63">
        <v>29957.47</v>
      </c>
      <c r="D29" s="63" t="s">
        <v>68</v>
      </c>
      <c r="E29" s="41">
        <f t="shared" si="0"/>
        <v>-4946.4835966083301</v>
      </c>
      <c r="F29" s="28">
        <f t="shared" si="1"/>
        <v>-4946.5</v>
      </c>
      <c r="G29" s="28">
        <f t="shared" si="2"/>
        <v>3.7907499994616956E-2</v>
      </c>
      <c r="H29" s="28"/>
      <c r="I29" s="28">
        <f t="shared" si="3"/>
        <v>3.7907499994616956E-2</v>
      </c>
      <c r="J29" s="28"/>
      <c r="K29" s="28"/>
      <c r="L29" s="28"/>
      <c r="M29" s="28"/>
      <c r="N29" s="28"/>
      <c r="O29" s="28">
        <f t="shared" ca="1" si="4"/>
        <v>-7.0037655613979684E-3</v>
      </c>
      <c r="P29" s="28"/>
      <c r="Q29" s="30">
        <f t="shared" si="5"/>
        <v>14938.970000000001</v>
      </c>
    </row>
    <row r="30" spans="1:17" x14ac:dyDescent="0.2">
      <c r="A30" s="63" t="s">
        <v>75</v>
      </c>
      <c r="B30" s="62" t="s">
        <v>35</v>
      </c>
      <c r="C30" s="63">
        <v>30023.4</v>
      </c>
      <c r="D30" s="63" t="s">
        <v>68</v>
      </c>
      <c r="E30" s="41">
        <f t="shared" si="0"/>
        <v>-4917.9542656607346</v>
      </c>
      <c r="F30" s="28">
        <f t="shared" si="1"/>
        <v>-4918</v>
      </c>
      <c r="G30" s="28">
        <f t="shared" si="2"/>
        <v>0.10568999999668449</v>
      </c>
      <c r="H30" s="28"/>
      <c r="I30" s="28">
        <f t="shared" si="3"/>
        <v>0.10568999999668449</v>
      </c>
      <c r="J30" s="28"/>
      <c r="K30" s="28"/>
      <c r="L30" s="28"/>
      <c r="M30" s="28"/>
      <c r="N30" s="28"/>
      <c r="O30" s="28">
        <f t="shared" ca="1" si="4"/>
        <v>-7.0512345906215239E-3</v>
      </c>
      <c r="P30" s="28"/>
      <c r="Q30" s="30">
        <f t="shared" si="5"/>
        <v>15004.900000000001</v>
      </c>
    </row>
    <row r="31" spans="1:17" x14ac:dyDescent="0.2">
      <c r="A31" s="63" t="s">
        <v>75</v>
      </c>
      <c r="B31" s="62" t="s">
        <v>35</v>
      </c>
      <c r="C31" s="63">
        <v>30321.38</v>
      </c>
      <c r="D31" s="63" t="s">
        <v>68</v>
      </c>
      <c r="E31" s="41">
        <f t="shared" si="0"/>
        <v>-4789.0119020058819</v>
      </c>
      <c r="F31" s="28">
        <f t="shared" si="1"/>
        <v>-4789</v>
      </c>
      <c r="G31" s="28">
        <f t="shared" si="2"/>
        <v>-2.7505000001838198E-2</v>
      </c>
      <c r="H31" s="28"/>
      <c r="I31" s="28">
        <f t="shared" si="3"/>
        <v>-2.7505000001838198E-2</v>
      </c>
      <c r="J31" s="28"/>
      <c r="K31" s="28"/>
      <c r="L31" s="28"/>
      <c r="M31" s="28"/>
      <c r="N31" s="28"/>
      <c r="O31" s="28">
        <f t="shared" ca="1" si="4"/>
        <v>-7.2660944071070866E-3</v>
      </c>
      <c r="P31" s="28"/>
      <c r="Q31" s="30">
        <f t="shared" si="5"/>
        <v>15302.880000000001</v>
      </c>
    </row>
    <row r="32" spans="1:17" x14ac:dyDescent="0.2">
      <c r="A32" s="63" t="s">
        <v>75</v>
      </c>
      <c r="B32" s="62" t="s">
        <v>35</v>
      </c>
      <c r="C32" s="63">
        <v>30372.26</v>
      </c>
      <c r="D32" s="63" t="s">
        <v>68</v>
      </c>
      <c r="E32" s="41">
        <f t="shared" si="0"/>
        <v>-4766.9950301931476</v>
      </c>
      <c r="F32" s="28">
        <f t="shared" si="1"/>
        <v>-4767</v>
      </c>
      <c r="G32" s="28">
        <f t="shared" si="2"/>
        <v>1.1484999991807854E-2</v>
      </c>
      <c r="H32" s="28"/>
      <c r="I32" s="28">
        <f t="shared" si="3"/>
        <v>1.1484999991807854E-2</v>
      </c>
      <c r="J32" s="28"/>
      <c r="K32" s="28"/>
      <c r="L32" s="28"/>
      <c r="M32" s="28"/>
      <c r="N32" s="28"/>
      <c r="O32" s="28">
        <f t="shared" ca="1" si="4"/>
        <v>-7.3027371665077261E-3</v>
      </c>
      <c r="P32" s="28"/>
      <c r="Q32" s="30">
        <f t="shared" si="5"/>
        <v>15353.759999999998</v>
      </c>
    </row>
    <row r="33" spans="1:18" x14ac:dyDescent="0.2">
      <c r="A33" s="63" t="s">
        <v>75</v>
      </c>
      <c r="B33" s="62" t="s">
        <v>35</v>
      </c>
      <c r="C33" s="63">
        <v>30582.53</v>
      </c>
      <c r="D33" s="63" t="s">
        <v>68</v>
      </c>
      <c r="E33" s="41">
        <f t="shared" si="0"/>
        <v>-4676.0066725661063</v>
      </c>
      <c r="F33" s="28">
        <f t="shared" si="1"/>
        <v>-4676</v>
      </c>
      <c r="G33" s="28">
        <f t="shared" si="2"/>
        <v>-1.5420000003359746E-2</v>
      </c>
      <c r="H33" s="28"/>
      <c r="I33" s="28">
        <f t="shared" si="3"/>
        <v>-1.5420000003359746E-2</v>
      </c>
      <c r="J33" s="28"/>
      <c r="K33" s="28"/>
      <c r="L33" s="28"/>
      <c r="M33" s="28"/>
      <c r="N33" s="28"/>
      <c r="O33" s="28">
        <f t="shared" ca="1" si="4"/>
        <v>-7.454304944028549E-3</v>
      </c>
      <c r="P33" s="28"/>
      <c r="Q33" s="30">
        <f t="shared" si="5"/>
        <v>15564.029999999999</v>
      </c>
    </row>
    <row r="34" spans="1:18" x14ac:dyDescent="0.2">
      <c r="A34" s="63" t="s">
        <v>75</v>
      </c>
      <c r="B34" s="62" t="s">
        <v>31</v>
      </c>
      <c r="C34" s="63">
        <v>30590.55</v>
      </c>
      <c r="D34" s="63" t="s">
        <v>68</v>
      </c>
      <c r="E34" s="41">
        <f t="shared" si="0"/>
        <v>-4672.5362458377622</v>
      </c>
      <c r="F34" s="28">
        <f t="shared" si="1"/>
        <v>-4672.5</v>
      </c>
      <c r="G34" s="28">
        <f t="shared" si="2"/>
        <v>-8.3762500002194429E-2</v>
      </c>
      <c r="H34" s="28"/>
      <c r="I34" s="28">
        <f t="shared" si="3"/>
        <v>-8.3762500002194429E-2</v>
      </c>
      <c r="J34" s="28"/>
      <c r="K34" s="28"/>
      <c r="L34" s="28"/>
      <c r="M34" s="28"/>
      <c r="N34" s="28"/>
      <c r="O34" s="28">
        <f t="shared" ca="1" si="4"/>
        <v>-7.4601344739331958E-3</v>
      </c>
      <c r="P34" s="28"/>
      <c r="Q34" s="30">
        <f t="shared" si="5"/>
        <v>15572.05</v>
      </c>
    </row>
    <row r="35" spans="1:18" x14ac:dyDescent="0.2">
      <c r="A35" s="63" t="s">
        <v>117</v>
      </c>
      <c r="B35" s="62" t="s">
        <v>31</v>
      </c>
      <c r="C35" s="63">
        <v>39024.483999999997</v>
      </c>
      <c r="D35" s="63" t="s">
        <v>68</v>
      </c>
      <c r="E35" s="41">
        <f t="shared" si="0"/>
        <v>-1022.9913607145128</v>
      </c>
      <c r="F35" s="28">
        <f t="shared" si="1"/>
        <v>-1023</v>
      </c>
      <c r="G35" s="28">
        <f t="shared" si="2"/>
        <v>1.9964999992225785E-2</v>
      </c>
      <c r="H35" s="28"/>
      <c r="I35" s="28">
        <f t="shared" si="3"/>
        <v>1.9964999992225785E-2</v>
      </c>
      <c r="J35" s="28"/>
      <c r="K35" s="28"/>
      <c r="L35" s="28"/>
      <c r="M35" s="28"/>
      <c r="N35" s="28"/>
      <c r="O35" s="28">
        <f t="shared" ca="1" si="4"/>
        <v>-1.3538668584507332E-2</v>
      </c>
      <c r="P35" s="28"/>
      <c r="Q35" s="30">
        <f t="shared" si="5"/>
        <v>24005.983999999997</v>
      </c>
    </row>
    <row r="36" spans="1:18" x14ac:dyDescent="0.2">
      <c r="A36" s="63" t="s">
        <v>117</v>
      </c>
      <c r="B36" s="62" t="s">
        <v>35</v>
      </c>
      <c r="C36" s="63">
        <v>39053.394</v>
      </c>
      <c r="D36" s="63" t="s">
        <v>68</v>
      </c>
      <c r="E36" s="41">
        <f t="shared" si="0"/>
        <v>-1010.4813810740596</v>
      </c>
      <c r="F36" s="28">
        <f t="shared" si="1"/>
        <v>-1010.5</v>
      </c>
      <c r="G36" s="28">
        <f t="shared" si="2"/>
        <v>4.3027499996242113E-2</v>
      </c>
      <c r="H36" s="28"/>
      <c r="I36" s="28">
        <f t="shared" si="3"/>
        <v>4.3027499996242113E-2</v>
      </c>
      <c r="J36" s="28"/>
      <c r="K36" s="28"/>
      <c r="L36" s="28"/>
      <c r="M36" s="28"/>
      <c r="N36" s="28"/>
      <c r="O36" s="28">
        <f t="shared" ca="1" si="4"/>
        <v>-1.3559488334166786E-2</v>
      </c>
      <c r="P36" s="28"/>
      <c r="Q36" s="30">
        <f t="shared" si="5"/>
        <v>24034.894</v>
      </c>
    </row>
    <row r="37" spans="1:18" x14ac:dyDescent="0.2">
      <c r="A37" s="63" t="s">
        <v>117</v>
      </c>
      <c r="B37" s="62" t="s">
        <v>31</v>
      </c>
      <c r="C37" s="63">
        <v>39061.402999999998</v>
      </c>
      <c r="D37" s="63" t="s">
        <v>68</v>
      </c>
      <c r="E37" s="41">
        <f t="shared" si="0"/>
        <v>-1007.0157142826257</v>
      </c>
      <c r="F37" s="28">
        <f t="shared" si="1"/>
        <v>-1007</v>
      </c>
      <c r="G37" s="28">
        <f t="shared" si="2"/>
        <v>-3.6315000004833564E-2</v>
      </c>
      <c r="H37" s="28"/>
      <c r="I37" s="28">
        <f t="shared" si="3"/>
        <v>-3.6315000004833564E-2</v>
      </c>
      <c r="J37" s="28"/>
      <c r="K37" s="28"/>
      <c r="L37" s="28"/>
      <c r="M37" s="28"/>
      <c r="N37" s="28"/>
      <c r="O37" s="28">
        <f t="shared" ca="1" si="4"/>
        <v>-1.3565317864071433E-2</v>
      </c>
      <c r="P37" s="28"/>
      <c r="Q37" s="30">
        <f t="shared" si="5"/>
        <v>24042.902999999998</v>
      </c>
    </row>
    <row r="38" spans="1:18" x14ac:dyDescent="0.2">
      <c r="A38" s="28" t="s">
        <v>13</v>
      </c>
      <c r="B38" s="28"/>
      <c r="C38" s="29">
        <v>41388.571000000004</v>
      </c>
      <c r="D38" s="29" t="s">
        <v>15</v>
      </c>
      <c r="E38" s="28">
        <f t="shared" si="0"/>
        <v>0</v>
      </c>
      <c r="F38" s="28">
        <f t="shared" si="1"/>
        <v>0</v>
      </c>
      <c r="G38" s="28">
        <f t="shared" si="2"/>
        <v>0</v>
      </c>
      <c r="H38" s="28">
        <f>+G38</f>
        <v>0</v>
      </c>
      <c r="I38" s="28"/>
      <c r="J38" s="28"/>
      <c r="K38" s="28"/>
      <c r="L38" s="28"/>
      <c r="M38" s="28"/>
      <c r="N38" s="28"/>
      <c r="O38" s="28">
        <f t="shared" ca="1" si="4"/>
        <v>-1.5242556896637033E-2</v>
      </c>
      <c r="P38" s="28"/>
      <c r="Q38" s="30">
        <f t="shared" si="5"/>
        <v>26370.071000000004</v>
      </c>
      <c r="R38" s="28"/>
    </row>
    <row r="39" spans="1:18" x14ac:dyDescent="0.2">
      <c r="A39" s="63" t="s">
        <v>117</v>
      </c>
      <c r="B39" s="62" t="s">
        <v>35</v>
      </c>
      <c r="C39" s="63">
        <v>41602.364999999998</v>
      </c>
      <c r="D39" s="63" t="s">
        <v>68</v>
      </c>
      <c r="E39" s="41">
        <f t="shared" si="0"/>
        <v>92.513268324131985</v>
      </c>
      <c r="F39" s="28">
        <f t="shared" si="1"/>
        <v>92.5</v>
      </c>
      <c r="G39" s="28">
        <f t="shared" si="2"/>
        <v>3.066249999392312E-2</v>
      </c>
      <c r="H39" s="28"/>
      <c r="I39" s="28">
        <f>+G39</f>
        <v>3.066249999392312E-2</v>
      </c>
      <c r="J39" s="28"/>
      <c r="K39" s="28"/>
      <c r="L39" s="28"/>
      <c r="M39" s="28"/>
      <c r="N39" s="28"/>
      <c r="O39" s="28">
        <f t="shared" ca="1" si="4"/>
        <v>-1.5396623044116991E-2</v>
      </c>
      <c r="P39" s="28"/>
      <c r="Q39" s="30">
        <f t="shared" si="5"/>
        <v>26583.864999999998</v>
      </c>
    </row>
    <row r="40" spans="1:18" x14ac:dyDescent="0.2">
      <c r="A40" s="63" t="s">
        <v>277</v>
      </c>
      <c r="B40" s="62" t="s">
        <v>31</v>
      </c>
      <c r="C40" s="63">
        <v>44191.764999999999</v>
      </c>
      <c r="D40" s="63" t="s">
        <v>68</v>
      </c>
      <c r="E40" s="41">
        <f t="shared" si="0"/>
        <v>1213.0024167497836</v>
      </c>
      <c r="F40" s="28">
        <f t="shared" si="1"/>
        <v>1213</v>
      </c>
      <c r="G40" s="28">
        <f t="shared" si="2"/>
        <v>5.5849999989732169E-3</v>
      </c>
      <c r="H40" s="28"/>
      <c r="I40" s="28">
        <f>+G40</f>
        <v>5.5849999989732169E-3</v>
      </c>
      <c r="J40" s="28"/>
      <c r="K40" s="28"/>
      <c r="L40" s="28"/>
      <c r="M40" s="28"/>
      <c r="N40" s="28"/>
      <c r="O40" s="28">
        <f t="shared" ca="1" si="4"/>
        <v>-1.726290540359043E-2</v>
      </c>
      <c r="P40" s="28"/>
      <c r="Q40" s="30">
        <f t="shared" si="5"/>
        <v>29173.264999999999</v>
      </c>
    </row>
    <row r="41" spans="1:18" x14ac:dyDescent="0.2">
      <c r="A41" s="63" t="s">
        <v>144</v>
      </c>
      <c r="B41" s="62" t="s">
        <v>31</v>
      </c>
      <c r="C41" s="63">
        <v>45044.477200000001</v>
      </c>
      <c r="D41" s="63" t="s">
        <v>68</v>
      </c>
      <c r="E41" s="41">
        <f t="shared" si="0"/>
        <v>1581.9893507229685</v>
      </c>
      <c r="F41" s="28">
        <f t="shared" si="1"/>
        <v>1582</v>
      </c>
      <c r="G41" s="28">
        <f t="shared" si="2"/>
        <v>-2.4610000000393484E-2</v>
      </c>
      <c r="H41" s="28"/>
      <c r="J41" s="28">
        <f t="shared" ref="J41:J47" si="6">+G41</f>
        <v>-2.4610000000393484E-2</v>
      </c>
      <c r="K41" s="28"/>
      <c r="L41" s="28"/>
      <c r="M41" s="28"/>
      <c r="N41" s="28"/>
      <c r="O41" s="28">
        <f t="shared" ca="1" si="4"/>
        <v>-1.7877504413537509E-2</v>
      </c>
      <c r="P41" s="28"/>
      <c r="Q41" s="30">
        <f t="shared" si="5"/>
        <v>30025.977200000001</v>
      </c>
    </row>
    <row r="42" spans="1:18" x14ac:dyDescent="0.2">
      <c r="A42" s="63" t="s">
        <v>149</v>
      </c>
      <c r="B42" s="62" t="s">
        <v>35</v>
      </c>
      <c r="C42" s="63">
        <v>45653.461000000003</v>
      </c>
      <c r="D42" s="63" t="s">
        <v>68</v>
      </c>
      <c r="E42" s="41">
        <f t="shared" si="0"/>
        <v>1845.5097567888599</v>
      </c>
      <c r="F42" s="28">
        <f t="shared" si="1"/>
        <v>1845.5</v>
      </c>
      <c r="G42" s="28">
        <f t="shared" si="2"/>
        <v>2.2547499997017439E-2</v>
      </c>
      <c r="H42" s="28"/>
      <c r="J42" s="28">
        <f t="shared" si="6"/>
        <v>2.2547499997017439E-2</v>
      </c>
      <c r="K42" s="28"/>
      <c r="L42" s="28"/>
      <c r="M42" s="28"/>
      <c r="N42" s="28"/>
      <c r="O42" s="28">
        <f t="shared" ca="1" si="4"/>
        <v>-1.8316384736358795E-2</v>
      </c>
      <c r="P42" s="28"/>
      <c r="Q42" s="30">
        <f t="shared" si="5"/>
        <v>30634.961000000003</v>
      </c>
    </row>
    <row r="43" spans="1:18" x14ac:dyDescent="0.2">
      <c r="A43" s="63" t="s">
        <v>155</v>
      </c>
      <c r="B43" s="62" t="s">
        <v>31</v>
      </c>
      <c r="C43" s="63">
        <v>47928.5576</v>
      </c>
      <c r="D43" s="63" t="s">
        <v>68</v>
      </c>
      <c r="E43" s="41">
        <f t="shared" si="0"/>
        <v>2829.9930548193265</v>
      </c>
      <c r="F43" s="28">
        <f t="shared" si="1"/>
        <v>2830</v>
      </c>
      <c r="G43" s="28">
        <f t="shared" si="2"/>
        <v>-1.6050000005634502E-2</v>
      </c>
      <c r="H43" s="28"/>
      <c r="J43" s="28">
        <f t="shared" si="6"/>
        <v>-1.6050000005634502E-2</v>
      </c>
      <c r="K43" s="28"/>
      <c r="L43" s="28"/>
      <c r="M43" s="28"/>
      <c r="N43" s="28"/>
      <c r="O43" s="28">
        <f t="shared" ca="1" si="4"/>
        <v>-1.9956148219537378E-2</v>
      </c>
      <c r="P43" s="28"/>
      <c r="Q43" s="30">
        <f t="shared" si="5"/>
        <v>32910.0576</v>
      </c>
    </row>
    <row r="44" spans="1:18" x14ac:dyDescent="0.2">
      <c r="A44" s="63" t="s">
        <v>160</v>
      </c>
      <c r="B44" s="62" t="s">
        <v>31</v>
      </c>
      <c r="C44" s="63">
        <v>48619.5314</v>
      </c>
      <c r="D44" s="63" t="s">
        <v>68</v>
      </c>
      <c r="E44" s="41">
        <f t="shared" si="0"/>
        <v>3128.9922997202443</v>
      </c>
      <c r="F44" s="28">
        <f t="shared" si="1"/>
        <v>3129</v>
      </c>
      <c r="G44" s="28">
        <f t="shared" si="2"/>
        <v>-1.7794999999750871E-2</v>
      </c>
      <c r="H44" s="28"/>
      <c r="J44" s="28">
        <f t="shared" si="6"/>
        <v>-1.7794999999750871E-2</v>
      </c>
      <c r="K44" s="28"/>
      <c r="L44" s="28"/>
      <c r="M44" s="28"/>
      <c r="N44" s="28"/>
      <c r="O44" s="28">
        <f t="shared" ca="1" si="4"/>
        <v>-2.0454156631391513E-2</v>
      </c>
      <c r="P44" s="28"/>
      <c r="Q44" s="30">
        <f t="shared" si="5"/>
        <v>33601.0314</v>
      </c>
    </row>
    <row r="45" spans="1:18" x14ac:dyDescent="0.2">
      <c r="A45" s="63" t="s">
        <v>160</v>
      </c>
      <c r="B45" s="62" t="s">
        <v>31</v>
      </c>
      <c r="C45" s="63">
        <v>48619.5317</v>
      </c>
      <c r="D45" s="63" t="s">
        <v>68</v>
      </c>
      <c r="E45" s="41">
        <f t="shared" si="0"/>
        <v>3128.992429536705</v>
      </c>
      <c r="F45" s="28">
        <f t="shared" si="1"/>
        <v>3129</v>
      </c>
      <c r="G45" s="28">
        <f t="shared" si="2"/>
        <v>-1.7495000000053551E-2</v>
      </c>
      <c r="H45" s="28"/>
      <c r="J45" s="28">
        <f t="shared" si="6"/>
        <v>-1.7495000000053551E-2</v>
      </c>
      <c r="K45" s="28"/>
      <c r="L45" s="28"/>
      <c r="M45" s="28"/>
      <c r="N45" s="28"/>
      <c r="O45" s="28">
        <f t="shared" ca="1" si="4"/>
        <v>-2.0454156631391513E-2</v>
      </c>
      <c r="P45" s="28"/>
      <c r="Q45" s="30">
        <f t="shared" si="5"/>
        <v>33601.0317</v>
      </c>
    </row>
    <row r="46" spans="1:18" x14ac:dyDescent="0.2">
      <c r="A46" s="28" t="s">
        <v>29</v>
      </c>
      <c r="B46" s="28"/>
      <c r="C46" s="29">
        <v>49615.548000000003</v>
      </c>
      <c r="D46" s="29">
        <v>1E-3</v>
      </c>
      <c r="E46" s="28">
        <f t="shared" si="0"/>
        <v>3559.9901339489516</v>
      </c>
      <c r="F46" s="28">
        <f t="shared" si="1"/>
        <v>3560</v>
      </c>
      <c r="G46" s="28">
        <f t="shared" si="2"/>
        <v>-2.2799999998824205E-2</v>
      </c>
      <c r="H46" s="28"/>
      <c r="I46" s="28"/>
      <c r="J46" s="28">
        <f t="shared" si="6"/>
        <v>-2.2799999998824205E-2</v>
      </c>
      <c r="L46" s="28"/>
      <c r="M46" s="28"/>
      <c r="N46" s="28"/>
      <c r="O46" s="28">
        <f t="shared" ca="1" si="4"/>
        <v>-2.1172021599649479E-2</v>
      </c>
      <c r="P46" s="28"/>
      <c r="Q46" s="30">
        <f t="shared" si="5"/>
        <v>34597.048000000003</v>
      </c>
    </row>
    <row r="47" spans="1:18" x14ac:dyDescent="0.2">
      <c r="A47" s="41" t="s">
        <v>29</v>
      </c>
      <c r="B47" s="41"/>
      <c r="C47" s="38">
        <v>49615.551599999999</v>
      </c>
      <c r="D47" s="29">
        <v>1.7000000000000001E-2</v>
      </c>
      <c r="E47" s="28">
        <f t="shared" si="0"/>
        <v>3559.9916917464839</v>
      </c>
      <c r="F47" s="28">
        <f t="shared" si="1"/>
        <v>3560</v>
      </c>
      <c r="G47" s="28">
        <f t="shared" si="2"/>
        <v>-1.9200000002456363E-2</v>
      </c>
      <c r="H47" s="28"/>
      <c r="I47" s="28"/>
      <c r="J47" s="28">
        <f t="shared" si="6"/>
        <v>-1.9200000002456363E-2</v>
      </c>
      <c r="L47" s="28"/>
      <c r="M47" s="28"/>
      <c r="N47" s="28"/>
      <c r="O47" s="28">
        <f t="shared" ca="1" si="4"/>
        <v>-2.1172021599649479E-2</v>
      </c>
      <c r="P47" s="28"/>
      <c r="Q47" s="30">
        <f t="shared" si="5"/>
        <v>34597.051599999999</v>
      </c>
    </row>
    <row r="48" spans="1:18" x14ac:dyDescent="0.2">
      <c r="A48" s="38" t="s">
        <v>53</v>
      </c>
      <c r="B48" s="42" t="s">
        <v>31</v>
      </c>
      <c r="C48" s="38">
        <v>50842.66</v>
      </c>
      <c r="D48" s="39"/>
      <c r="E48" s="28">
        <f t="shared" si="0"/>
        <v>4090.9879249055048</v>
      </c>
      <c r="F48" s="28">
        <f t="shared" si="1"/>
        <v>4091</v>
      </c>
      <c r="G48" s="28">
        <f t="shared" si="2"/>
        <v>-2.7904999995371327E-2</v>
      </c>
      <c r="H48" s="28"/>
      <c r="I48" s="28">
        <f>+G48</f>
        <v>-2.7904999995371327E-2</v>
      </c>
      <c r="K48" s="28"/>
      <c r="L48" s="28"/>
      <c r="M48" s="28"/>
      <c r="N48" s="28"/>
      <c r="O48" s="28">
        <f t="shared" ca="1" si="4"/>
        <v>-2.2056444565183079E-2</v>
      </c>
      <c r="P48" s="28"/>
      <c r="Q48" s="30">
        <f t="shared" si="5"/>
        <v>35824.160000000003</v>
      </c>
      <c r="R48" s="28"/>
    </row>
    <row r="49" spans="1:18" x14ac:dyDescent="0.2">
      <c r="A49" s="38" t="s">
        <v>53</v>
      </c>
      <c r="B49" s="42" t="s">
        <v>31</v>
      </c>
      <c r="C49" s="38">
        <v>51466.618000000002</v>
      </c>
      <c r="D49" s="35"/>
      <c r="E49" s="28">
        <f t="shared" si="0"/>
        <v>4360.9879898137351</v>
      </c>
      <c r="F49" s="28">
        <f t="shared" si="1"/>
        <v>4361</v>
      </c>
      <c r="G49" s="28">
        <f t="shared" si="2"/>
        <v>-2.7755000002798624E-2</v>
      </c>
      <c r="H49" s="28"/>
      <c r="I49" s="28">
        <f>+G49</f>
        <v>-2.7755000002798624E-2</v>
      </c>
      <c r="K49" s="28"/>
      <c r="L49" s="28"/>
      <c r="M49" s="28"/>
      <c r="N49" s="28"/>
      <c r="O49" s="28">
        <f t="shared" ca="1" si="4"/>
        <v>-2.2506151157827281E-2</v>
      </c>
      <c r="P49" s="28"/>
      <c r="Q49" s="30">
        <f t="shared" si="5"/>
        <v>36448.118000000002</v>
      </c>
      <c r="R49" s="28"/>
    </row>
    <row r="50" spans="1:18" x14ac:dyDescent="0.2">
      <c r="A50" s="39" t="s">
        <v>30</v>
      </c>
      <c r="B50" s="43" t="s">
        <v>31</v>
      </c>
      <c r="C50" s="44">
        <v>52587.440499999997</v>
      </c>
      <c r="D50" s="11">
        <v>8.0000000000000004E-4</v>
      </c>
      <c r="E50" s="28">
        <f t="shared" si="0"/>
        <v>4845.9920249420666</v>
      </c>
      <c r="F50" s="28">
        <f t="shared" si="1"/>
        <v>4846</v>
      </c>
      <c r="G50" s="28">
        <f t="shared" si="2"/>
        <v>-1.8430000003718305E-2</v>
      </c>
      <c r="H50" s="28"/>
      <c r="J50" s="28"/>
      <c r="K50" s="28">
        <f>+G50</f>
        <v>-1.8430000003718305E-2</v>
      </c>
      <c r="L50" s="28"/>
      <c r="M50" s="28"/>
      <c r="N50" s="28"/>
      <c r="O50" s="28">
        <f t="shared" ca="1" si="4"/>
        <v>-2.3313957444614088E-2</v>
      </c>
      <c r="P50" s="28"/>
      <c r="Q50" s="30">
        <f t="shared" si="5"/>
        <v>37568.940499999997</v>
      </c>
    </row>
    <row r="51" spans="1:18" x14ac:dyDescent="0.2">
      <c r="A51" s="45" t="s">
        <v>34</v>
      </c>
      <c r="B51" s="36" t="s">
        <v>35</v>
      </c>
      <c r="C51" s="37">
        <v>53314.225400000003</v>
      </c>
      <c r="D51" s="29">
        <v>5.0000000000000001E-4</v>
      </c>
      <c r="E51" s="28">
        <f t="shared" si="0"/>
        <v>5160.4875040838097</v>
      </c>
      <c r="F51" s="28">
        <f t="shared" si="1"/>
        <v>5160.5</v>
      </c>
      <c r="G51" s="28">
        <f t="shared" si="2"/>
        <v>-2.8877500000817236E-2</v>
      </c>
      <c r="H51" s="28"/>
      <c r="J51" s="28"/>
      <c r="K51" s="28">
        <f>+G51</f>
        <v>-2.8877500000817236E-2</v>
      </c>
      <c r="L51" s="28"/>
      <c r="M51" s="28"/>
      <c r="N51" s="28"/>
      <c r="O51" s="28">
        <f t="shared" ca="1" si="4"/>
        <v>-2.3837782346045947E-2</v>
      </c>
      <c r="P51" s="28"/>
      <c r="Q51" s="30">
        <f t="shared" si="5"/>
        <v>38295.725400000003</v>
      </c>
    </row>
    <row r="52" spans="1:18" x14ac:dyDescent="0.2">
      <c r="A52" s="31" t="s">
        <v>37</v>
      </c>
      <c r="B52" s="32"/>
      <c r="C52" s="29">
        <v>53657.406199999998</v>
      </c>
      <c r="D52" s="29">
        <v>3.5000000000000001E-3</v>
      </c>
      <c r="E52" s="28">
        <f t="shared" si="0"/>
        <v>5308.9892273973292</v>
      </c>
      <c r="F52" s="28">
        <f t="shared" si="1"/>
        <v>5309</v>
      </c>
      <c r="G52" s="28">
        <f t="shared" si="2"/>
        <v>-2.4895000009564683E-2</v>
      </c>
      <c r="H52" s="28"/>
      <c r="I52" s="28"/>
      <c r="J52" s="28">
        <f>+G52</f>
        <v>-2.4895000009564683E-2</v>
      </c>
      <c r="K52" s="28"/>
      <c r="L52" s="28"/>
      <c r="M52" s="28"/>
      <c r="N52" s="28"/>
      <c r="O52" s="28">
        <f t="shared" ca="1" si="4"/>
        <v>-2.408512097200026E-2</v>
      </c>
      <c r="P52" s="28"/>
      <c r="Q52" s="30">
        <f t="shared" si="5"/>
        <v>38638.906199999998</v>
      </c>
    </row>
    <row r="53" spans="1:18" x14ac:dyDescent="0.2">
      <c r="A53" s="33" t="s">
        <v>43</v>
      </c>
      <c r="B53" s="36" t="s">
        <v>31</v>
      </c>
      <c r="C53" s="46">
        <v>53980.9378</v>
      </c>
      <c r="D53" s="46">
        <v>2.0000000000000001E-4</v>
      </c>
      <c r="E53" s="41">
        <f t="shared" ref="E53:E71" si="7">+(C53-C$7)/C$8</f>
        <v>5448.9883186821016</v>
      </c>
      <c r="F53" s="28">
        <f t="shared" ref="F53:F72" si="8">ROUND(2*E53,0)/2</f>
        <v>5449</v>
      </c>
      <c r="G53" s="28">
        <f t="shared" ref="G53:G71" si="9">+C53-(C$7+F53*C$8)</f>
        <v>-2.6995000007445924E-2</v>
      </c>
      <c r="H53" s="28"/>
      <c r="I53" s="28"/>
      <c r="J53" s="28"/>
      <c r="K53" s="28">
        <f>+G53</f>
        <v>-2.6995000007445924E-2</v>
      </c>
      <c r="L53" s="28"/>
      <c r="M53" s="28"/>
      <c r="N53" s="28"/>
      <c r="O53" s="28">
        <f t="shared" ref="O53:O71" ca="1" si="10">+C$11+C$12*$F53</f>
        <v>-2.4318302168186139E-2</v>
      </c>
      <c r="P53" s="28"/>
      <c r="Q53" s="30">
        <f t="shared" ref="Q53:Q71" si="11">+C53-15018.5</f>
        <v>38962.4378</v>
      </c>
    </row>
    <row r="54" spans="1:18" x14ac:dyDescent="0.2">
      <c r="A54" s="34" t="s">
        <v>45</v>
      </c>
      <c r="B54" s="36" t="s">
        <v>31</v>
      </c>
      <c r="C54" s="38">
        <v>54050.266900000002</v>
      </c>
      <c r="D54" s="38">
        <v>5.8999999999999999E-3</v>
      </c>
      <c r="E54" s="41">
        <f t="shared" si="7"/>
        <v>5478.9885134067945</v>
      </c>
      <c r="F54" s="28">
        <f t="shared" si="8"/>
        <v>5479</v>
      </c>
      <c r="G54" s="28">
        <f t="shared" si="9"/>
        <v>-2.6545000000623986E-2</v>
      </c>
      <c r="H54" s="28"/>
      <c r="I54" s="28"/>
      <c r="J54" s="28">
        <f>+G54</f>
        <v>-2.6545000000623986E-2</v>
      </c>
      <c r="K54" s="28"/>
      <c r="L54" s="28"/>
      <c r="M54" s="28"/>
      <c r="N54" s="28"/>
      <c r="O54" s="28">
        <f t="shared" ca="1" si="10"/>
        <v>-2.436826956736883E-2</v>
      </c>
      <c r="P54" s="28"/>
      <c r="Q54" s="30">
        <f t="shared" si="11"/>
        <v>39031.766900000002</v>
      </c>
    </row>
    <row r="55" spans="1:18" x14ac:dyDescent="0.2">
      <c r="A55" s="34" t="s">
        <v>44</v>
      </c>
      <c r="B55" s="36" t="s">
        <v>31</v>
      </c>
      <c r="C55" s="37">
        <v>54066.443700000003</v>
      </c>
      <c r="D55" s="38">
        <v>4.0000000000000002E-4</v>
      </c>
      <c r="E55" s="41">
        <f t="shared" si="7"/>
        <v>5485.9885631697716</v>
      </c>
      <c r="F55" s="28">
        <f t="shared" si="8"/>
        <v>5486</v>
      </c>
      <c r="G55" s="28">
        <f t="shared" si="9"/>
        <v>-2.6429999998072162E-2</v>
      </c>
      <c r="H55" s="28"/>
      <c r="J55" s="28"/>
      <c r="K55" s="28">
        <f t="shared" ref="K55:K64" si="12">+G55</f>
        <v>-2.6429999998072162E-2</v>
      </c>
      <c r="L55" s="28"/>
      <c r="M55" s="28"/>
      <c r="N55" s="28"/>
      <c r="O55" s="28">
        <f t="shared" ca="1" si="10"/>
        <v>-2.4379928627178124E-2</v>
      </c>
      <c r="P55" s="28"/>
      <c r="Q55" s="30">
        <f t="shared" si="11"/>
        <v>39047.943700000003</v>
      </c>
    </row>
    <row r="56" spans="1:18" x14ac:dyDescent="0.2">
      <c r="A56" s="38" t="s">
        <v>54</v>
      </c>
      <c r="B56" s="42" t="s">
        <v>31</v>
      </c>
      <c r="C56" s="38">
        <v>54750.488120000002</v>
      </c>
      <c r="D56" s="38">
        <v>2.6700000000000001E-3</v>
      </c>
      <c r="E56" s="41">
        <f t="shared" si="7"/>
        <v>5781.989316105246</v>
      </c>
      <c r="F56" s="28">
        <f t="shared" si="8"/>
        <v>5782</v>
      </c>
      <c r="G56" s="28">
        <f t="shared" si="9"/>
        <v>-2.4689999998372514E-2</v>
      </c>
      <c r="H56" s="28"/>
      <c r="I56" s="28"/>
      <c r="J56" s="28"/>
      <c r="K56" s="28">
        <f t="shared" si="12"/>
        <v>-2.4689999998372514E-2</v>
      </c>
      <c r="L56" s="28"/>
      <c r="M56" s="28"/>
      <c r="N56" s="28"/>
      <c r="O56" s="28">
        <f t="shared" ca="1" si="10"/>
        <v>-2.487294029911399E-2</v>
      </c>
      <c r="P56" s="28"/>
      <c r="Q56" s="30">
        <f t="shared" si="11"/>
        <v>39731.988120000002</v>
      </c>
    </row>
    <row r="57" spans="1:18" x14ac:dyDescent="0.2">
      <c r="A57" s="38" t="s">
        <v>54</v>
      </c>
      <c r="B57" s="42" t="s">
        <v>35</v>
      </c>
      <c r="C57" s="38">
        <v>54758.577929999999</v>
      </c>
      <c r="D57" s="38">
        <v>2.1800000000000001E-3</v>
      </c>
      <c r="E57" s="41">
        <f t="shared" si="7"/>
        <v>5785.489951124101</v>
      </c>
      <c r="F57" s="28">
        <f t="shared" si="8"/>
        <v>5785.5</v>
      </c>
      <c r="G57" s="28">
        <f t="shared" si="9"/>
        <v>-2.3222500007250346E-2</v>
      </c>
      <c r="H57" s="28"/>
      <c r="I57" s="28"/>
      <c r="J57" s="28"/>
      <c r="K57" s="28">
        <f t="shared" si="12"/>
        <v>-2.3222500007250346E-2</v>
      </c>
      <c r="L57" s="28"/>
      <c r="M57" s="28"/>
      <c r="N57" s="28"/>
      <c r="O57" s="28">
        <f t="shared" ca="1" si="10"/>
        <v>-2.4878769829018637E-2</v>
      </c>
      <c r="P57" s="28"/>
      <c r="Q57" s="30">
        <f t="shared" si="11"/>
        <v>39740.077929999999</v>
      </c>
    </row>
    <row r="58" spans="1:18" x14ac:dyDescent="0.2">
      <c r="A58" s="39" t="s">
        <v>47</v>
      </c>
      <c r="B58" s="40" t="s">
        <v>31</v>
      </c>
      <c r="C58" s="39">
        <v>54838.306199999999</v>
      </c>
      <c r="D58" s="39">
        <v>6.9999999999999999E-4</v>
      </c>
      <c r="E58" s="41">
        <f t="shared" si="7"/>
        <v>5819.9900906767962</v>
      </c>
      <c r="F58" s="28">
        <f t="shared" si="8"/>
        <v>5820</v>
      </c>
      <c r="G58" s="28">
        <f t="shared" si="9"/>
        <v>-2.290000000357395E-2</v>
      </c>
      <c r="H58" s="28"/>
      <c r="I58" s="28"/>
      <c r="J58" s="28"/>
      <c r="K58" s="28">
        <f t="shared" si="12"/>
        <v>-2.290000000357395E-2</v>
      </c>
      <c r="L58" s="28"/>
      <c r="M58" s="28"/>
      <c r="N58" s="28"/>
      <c r="O58" s="28">
        <f t="shared" ca="1" si="10"/>
        <v>-2.4936232338078727E-2</v>
      </c>
      <c r="P58" s="28"/>
      <c r="Q58" s="30">
        <f t="shared" si="11"/>
        <v>39819.806199999999</v>
      </c>
    </row>
    <row r="59" spans="1:18" x14ac:dyDescent="0.2">
      <c r="A59" s="39" t="s">
        <v>50</v>
      </c>
      <c r="B59" s="40" t="s">
        <v>31</v>
      </c>
      <c r="C59" s="39">
        <v>55087.89</v>
      </c>
      <c r="D59" s="39">
        <v>1E-3</v>
      </c>
      <c r="E59" s="41">
        <f t="shared" si="7"/>
        <v>5927.990376273011</v>
      </c>
      <c r="F59" s="28">
        <f t="shared" si="8"/>
        <v>5928</v>
      </c>
      <c r="G59" s="28">
        <f t="shared" si="9"/>
        <v>-2.2240000005695038E-2</v>
      </c>
      <c r="H59" s="28"/>
      <c r="I59" s="28"/>
      <c r="J59" s="28"/>
      <c r="K59" s="28">
        <f t="shared" si="12"/>
        <v>-2.2240000005695038E-2</v>
      </c>
      <c r="L59" s="28"/>
      <c r="M59" s="28"/>
      <c r="N59" s="28"/>
      <c r="O59" s="28">
        <f t="shared" ca="1" si="10"/>
        <v>-2.5116114975136411E-2</v>
      </c>
      <c r="P59" s="28"/>
      <c r="Q59" s="30">
        <f t="shared" si="11"/>
        <v>40069.39</v>
      </c>
    </row>
    <row r="60" spans="1:18" x14ac:dyDescent="0.2">
      <c r="A60" s="39" t="s">
        <v>51</v>
      </c>
      <c r="B60" s="40" t="s">
        <v>35</v>
      </c>
      <c r="C60" s="39">
        <v>55872.460749999998</v>
      </c>
      <c r="D60" s="39">
        <v>3.63E-3</v>
      </c>
      <c r="E60" s="41">
        <f t="shared" si="7"/>
        <v>6267.4910372551585</v>
      </c>
      <c r="F60" s="28">
        <f t="shared" si="8"/>
        <v>6267.5</v>
      </c>
      <c r="G60" s="28">
        <f t="shared" si="9"/>
        <v>-2.0712500001536682E-2</v>
      </c>
      <c r="H60" s="28"/>
      <c r="I60" s="28"/>
      <c r="J60" s="28"/>
      <c r="K60" s="28">
        <f t="shared" si="12"/>
        <v>-2.0712500001536682E-2</v>
      </c>
      <c r="L60" s="28"/>
      <c r="M60" s="28"/>
      <c r="N60" s="28"/>
      <c r="O60" s="28">
        <f t="shared" ca="1" si="10"/>
        <v>-2.5681579375887179E-2</v>
      </c>
      <c r="P60" s="28"/>
      <c r="Q60" s="30">
        <f t="shared" si="11"/>
        <v>40853.960749999998</v>
      </c>
    </row>
    <row r="61" spans="1:18" x14ac:dyDescent="0.2">
      <c r="A61" s="63" t="s">
        <v>237</v>
      </c>
      <c r="B61" s="62" t="s">
        <v>35</v>
      </c>
      <c r="C61" s="63">
        <v>55879.387300000002</v>
      </c>
      <c r="D61" s="63" t="s">
        <v>68</v>
      </c>
      <c r="E61" s="41">
        <f t="shared" si="7"/>
        <v>6270.4883046186533</v>
      </c>
      <c r="F61" s="28">
        <f t="shared" si="8"/>
        <v>6270.5</v>
      </c>
      <c r="G61" s="28">
        <f t="shared" si="9"/>
        <v>-2.7027500000258442E-2</v>
      </c>
      <c r="H61" s="28"/>
      <c r="J61" s="28"/>
      <c r="K61" s="28">
        <f t="shared" si="12"/>
        <v>-2.7027500000258442E-2</v>
      </c>
      <c r="L61" s="28"/>
      <c r="M61" s="28"/>
      <c r="N61" s="28"/>
      <c r="O61" s="28">
        <f t="shared" ca="1" si="10"/>
        <v>-2.5686576115805444E-2</v>
      </c>
      <c r="P61" s="28"/>
      <c r="Q61" s="30">
        <f t="shared" si="11"/>
        <v>40860.887300000002</v>
      </c>
    </row>
    <row r="62" spans="1:18" x14ac:dyDescent="0.2">
      <c r="A62" s="63" t="s">
        <v>237</v>
      </c>
      <c r="B62" s="62" t="s">
        <v>31</v>
      </c>
      <c r="C62" s="63">
        <v>55880.543299999998</v>
      </c>
      <c r="D62" s="63" t="s">
        <v>68</v>
      </c>
      <c r="E62" s="41">
        <f t="shared" si="7"/>
        <v>6270.9885307156546</v>
      </c>
      <c r="F62" s="28">
        <f t="shared" si="8"/>
        <v>6271</v>
      </c>
      <c r="G62" s="28">
        <f t="shared" si="9"/>
        <v>-2.6505000008910429E-2</v>
      </c>
      <c r="H62" s="28"/>
      <c r="J62" s="28"/>
      <c r="K62" s="28">
        <f t="shared" si="12"/>
        <v>-2.6505000008910429E-2</v>
      </c>
      <c r="L62" s="28"/>
      <c r="M62" s="28"/>
      <c r="N62" s="28"/>
      <c r="O62" s="28">
        <f t="shared" ca="1" si="10"/>
        <v>-2.5687408905791825E-2</v>
      </c>
      <c r="P62" s="28"/>
      <c r="Q62" s="30">
        <f t="shared" si="11"/>
        <v>40862.043299999998</v>
      </c>
    </row>
    <row r="63" spans="1:18" x14ac:dyDescent="0.2">
      <c r="A63" s="39" t="s">
        <v>52</v>
      </c>
      <c r="B63" s="40" t="s">
        <v>31</v>
      </c>
      <c r="C63" s="39">
        <v>55903.653200000001</v>
      </c>
      <c r="D63" s="39">
        <v>5.9999999999999995E-4</v>
      </c>
      <c r="E63" s="41">
        <f t="shared" si="7"/>
        <v>6280.9886821681939</v>
      </c>
      <c r="F63" s="28">
        <f t="shared" si="8"/>
        <v>6281</v>
      </c>
      <c r="G63" s="28">
        <f t="shared" si="9"/>
        <v>-2.6154999999562278E-2</v>
      </c>
      <c r="H63" s="28"/>
      <c r="I63" s="28"/>
      <c r="J63" s="28"/>
      <c r="K63" s="28">
        <f t="shared" si="12"/>
        <v>-2.6154999999562278E-2</v>
      </c>
      <c r="L63" s="28"/>
      <c r="M63" s="28"/>
      <c r="N63" s="28"/>
      <c r="O63" s="28">
        <f t="shared" ca="1" si="10"/>
        <v>-2.5704064705519385E-2</v>
      </c>
      <c r="P63" s="28"/>
      <c r="Q63" s="30">
        <f t="shared" si="11"/>
        <v>40885.153200000001</v>
      </c>
    </row>
    <row r="64" spans="1:18" x14ac:dyDescent="0.2">
      <c r="A64" s="63" t="s">
        <v>237</v>
      </c>
      <c r="B64" s="62" t="s">
        <v>35</v>
      </c>
      <c r="C64" s="63">
        <v>55953.338799999998</v>
      </c>
      <c r="D64" s="63" t="s">
        <v>68</v>
      </c>
      <c r="E64" s="41">
        <f t="shared" si="7"/>
        <v>6302.4887113768964</v>
      </c>
      <c r="F64" s="28">
        <f t="shared" si="8"/>
        <v>6302.5</v>
      </c>
      <c r="G64" s="28">
        <f t="shared" si="9"/>
        <v>-2.6087500009452924E-2</v>
      </c>
      <c r="H64" s="28"/>
      <c r="J64" s="28"/>
      <c r="K64" s="28">
        <f t="shared" si="12"/>
        <v>-2.6087500009452924E-2</v>
      </c>
      <c r="L64" s="28"/>
      <c r="M64" s="28"/>
      <c r="N64" s="28"/>
      <c r="O64" s="28">
        <f t="shared" ca="1" si="10"/>
        <v>-2.5739874674933647E-2</v>
      </c>
      <c r="P64" s="28"/>
      <c r="Q64" s="30">
        <f t="shared" si="11"/>
        <v>40934.838799999998</v>
      </c>
    </row>
    <row r="65" spans="1:17" x14ac:dyDescent="0.2">
      <c r="A65" s="47" t="s">
        <v>55</v>
      </c>
      <c r="B65" s="36" t="s">
        <v>31</v>
      </c>
      <c r="C65" s="38">
        <v>56585.381399999998</v>
      </c>
      <c r="D65" s="37">
        <v>1.4E-2</v>
      </c>
      <c r="E65" s="41">
        <f t="shared" si="7"/>
        <v>6575.9871568247736</v>
      </c>
      <c r="F65" s="28">
        <f t="shared" si="8"/>
        <v>6576</v>
      </c>
      <c r="G65" s="28">
        <f t="shared" si="9"/>
        <v>-2.9680000006919727E-2</v>
      </c>
      <c r="H65" s="28"/>
      <c r="I65" s="28"/>
      <c r="J65" s="28">
        <f>+G65</f>
        <v>-2.9680000006919727E-2</v>
      </c>
      <c r="K65" s="28"/>
      <c r="L65" s="28"/>
      <c r="M65" s="28"/>
      <c r="N65" s="28"/>
      <c r="O65" s="28">
        <f t="shared" ca="1" si="10"/>
        <v>-2.6195410797482499E-2</v>
      </c>
      <c r="P65" s="28"/>
      <c r="Q65" s="30">
        <f t="shared" si="11"/>
        <v>41566.881399999998</v>
      </c>
    </row>
    <row r="66" spans="1:17" x14ac:dyDescent="0.2">
      <c r="A66" s="64" t="s">
        <v>55</v>
      </c>
      <c r="B66" s="65" t="s">
        <v>31</v>
      </c>
      <c r="C66" s="66">
        <v>56592.316599999998</v>
      </c>
      <c r="D66" s="67">
        <v>2.0999999999999999E-3</v>
      </c>
      <c r="E66" s="41">
        <f t="shared" si="7"/>
        <v>6578.9881672295633</v>
      </c>
      <c r="F66" s="28">
        <f t="shared" si="8"/>
        <v>6579</v>
      </c>
      <c r="G66" s="28">
        <f t="shared" si="9"/>
        <v>-2.7345000002242159E-2</v>
      </c>
      <c r="H66" s="28"/>
      <c r="I66" s="28"/>
      <c r="J66" s="28">
        <f>+G66</f>
        <v>-2.7345000002242159E-2</v>
      </c>
      <c r="K66" s="28"/>
      <c r="L66" s="28"/>
      <c r="M66" s="28"/>
      <c r="N66" s="28"/>
      <c r="O66" s="28">
        <f t="shared" ca="1" si="10"/>
        <v>-2.6200407537400765E-2</v>
      </c>
      <c r="P66" s="28"/>
      <c r="Q66" s="30">
        <f t="shared" si="11"/>
        <v>41573.816599999998</v>
      </c>
    </row>
    <row r="67" spans="1:17" x14ac:dyDescent="0.2">
      <c r="A67" s="64" t="s">
        <v>55</v>
      </c>
      <c r="B67" s="65" t="s">
        <v>31</v>
      </c>
      <c r="C67" s="66">
        <v>56644.3099</v>
      </c>
      <c r="D67" s="67">
        <v>8.8999999999999999E-3</v>
      </c>
      <c r="E67" s="41">
        <f t="shared" si="7"/>
        <v>6601.4867879296644</v>
      </c>
      <c r="F67" s="28">
        <f t="shared" si="8"/>
        <v>6601.5</v>
      </c>
      <c r="G67" s="28">
        <f t="shared" si="9"/>
        <v>-3.0532500000845175E-2</v>
      </c>
      <c r="H67" s="28"/>
      <c r="I67" s="28"/>
      <c r="J67" s="28">
        <f>+G67</f>
        <v>-3.0532500000845175E-2</v>
      </c>
      <c r="K67" s="28"/>
      <c r="L67" s="28"/>
      <c r="M67" s="28"/>
      <c r="N67" s="28"/>
      <c r="O67" s="28">
        <f t="shared" ca="1" si="10"/>
        <v>-2.6237883086787782E-2</v>
      </c>
      <c r="P67" s="28"/>
      <c r="Q67" s="30">
        <f t="shared" si="11"/>
        <v>41625.8099</v>
      </c>
    </row>
    <row r="68" spans="1:17" x14ac:dyDescent="0.2">
      <c r="A68" s="67" t="s">
        <v>56</v>
      </c>
      <c r="B68" s="65" t="s">
        <v>31</v>
      </c>
      <c r="C68" s="67">
        <v>56682.439299999998</v>
      </c>
      <c r="D68" s="67">
        <v>3.5000000000000001E-3</v>
      </c>
      <c r="E68" s="41">
        <f t="shared" si="7"/>
        <v>6617.9862005101768</v>
      </c>
      <c r="F68" s="28">
        <f t="shared" si="8"/>
        <v>6618</v>
      </c>
      <c r="G68" s="28">
        <f t="shared" si="9"/>
        <v>-3.1890000005660113E-2</v>
      </c>
      <c r="H68" s="28"/>
      <c r="I68" s="28"/>
      <c r="J68" s="28">
        <f>+G68</f>
        <v>-3.1890000005660113E-2</v>
      </c>
      <c r="K68" s="28"/>
      <c r="L68" s="28"/>
      <c r="M68" s="28"/>
      <c r="N68" s="28"/>
      <c r="O68" s="28">
        <f t="shared" ca="1" si="10"/>
        <v>-2.6265365156338261E-2</v>
      </c>
      <c r="P68" s="28"/>
      <c r="Q68" s="30">
        <f t="shared" si="11"/>
        <v>41663.939299999998</v>
      </c>
    </row>
    <row r="69" spans="1:17" ht="12" customHeight="1" x14ac:dyDescent="0.2">
      <c r="A69" s="67" t="s">
        <v>57</v>
      </c>
      <c r="B69" s="68"/>
      <c r="C69" s="67">
        <v>56934.339899999999</v>
      </c>
      <c r="D69" s="67">
        <v>5.4999999999999997E-3</v>
      </c>
      <c r="E69" s="41">
        <f t="shared" si="7"/>
        <v>6726.9890153637762</v>
      </c>
      <c r="F69" s="28">
        <f t="shared" si="8"/>
        <v>6727</v>
      </c>
      <c r="G69" s="28">
        <f t="shared" si="9"/>
        <v>-2.5385000008100178E-2</v>
      </c>
      <c r="H69" s="28"/>
      <c r="I69" s="28"/>
      <c r="J69" s="28">
        <f>+G69</f>
        <v>-2.5385000008100178E-2</v>
      </c>
      <c r="K69" s="28"/>
      <c r="L69" s="28"/>
      <c r="M69" s="28"/>
      <c r="N69" s="28"/>
      <c r="O69" s="28">
        <f t="shared" ca="1" si="10"/>
        <v>-2.64469133733687E-2</v>
      </c>
      <c r="P69" s="28"/>
      <c r="Q69" s="30">
        <f t="shared" si="11"/>
        <v>41915.839899999999</v>
      </c>
    </row>
    <row r="70" spans="1:17" ht="12" customHeight="1" x14ac:dyDescent="0.2">
      <c r="A70" s="69" t="s">
        <v>0</v>
      </c>
      <c r="B70" s="70" t="s">
        <v>31</v>
      </c>
      <c r="C70" s="71">
        <v>57298.324000000001</v>
      </c>
      <c r="D70" s="71">
        <v>1.3899999999999999E-2</v>
      </c>
      <c r="E70" s="41">
        <f t="shared" si="7"/>
        <v>6884.4927746321318</v>
      </c>
      <c r="F70" s="28">
        <f t="shared" si="8"/>
        <v>6884.5</v>
      </c>
      <c r="G70" s="75">
        <f t="shared" si="9"/>
        <v>-1.6697500002919696E-2</v>
      </c>
      <c r="H70" s="28"/>
      <c r="I70" s="75">
        <f>+G70</f>
        <v>-1.6697500002919696E-2</v>
      </c>
      <c r="L70" s="28"/>
      <c r="M70" s="28"/>
      <c r="N70" s="28"/>
      <c r="O70" s="28">
        <f t="shared" ca="1" si="10"/>
        <v>-2.6709242219077816E-2</v>
      </c>
      <c r="P70" s="28"/>
      <c r="Q70" s="30">
        <f t="shared" si="11"/>
        <v>42279.824000000001</v>
      </c>
    </row>
    <row r="71" spans="1:17" ht="12" customHeight="1" x14ac:dyDescent="0.2">
      <c r="A71" s="69" t="s">
        <v>0</v>
      </c>
      <c r="B71" s="70" t="s">
        <v>31</v>
      </c>
      <c r="C71" s="71">
        <v>57299.466999999997</v>
      </c>
      <c r="D71" s="71">
        <v>6.1999999999999998E-3</v>
      </c>
      <c r="E71" s="41">
        <f t="shared" si="7"/>
        <v>6884.9873753491493</v>
      </c>
      <c r="F71" s="28">
        <f t="shared" si="8"/>
        <v>6885</v>
      </c>
      <c r="G71" s="28">
        <f t="shared" si="9"/>
        <v>-2.9175000003306195E-2</v>
      </c>
      <c r="H71" s="28"/>
      <c r="I71" s="28"/>
      <c r="K71" s="28">
        <f>+G71</f>
        <v>-2.9175000003306195E-2</v>
      </c>
      <c r="L71" s="28"/>
      <c r="M71" s="28"/>
      <c r="N71" s="28"/>
      <c r="O71" s="28">
        <f t="shared" ca="1" si="10"/>
        <v>-2.6710075009064194E-2</v>
      </c>
      <c r="P71" s="28"/>
      <c r="Q71" s="30">
        <f t="shared" si="11"/>
        <v>42280.966999999997</v>
      </c>
    </row>
    <row r="72" spans="1:17" ht="12" customHeight="1" x14ac:dyDescent="0.2">
      <c r="A72" s="72" t="s">
        <v>278</v>
      </c>
      <c r="B72" s="73" t="s">
        <v>31</v>
      </c>
      <c r="C72" s="74">
        <v>55834.326500000003</v>
      </c>
      <c r="D72" s="74">
        <v>6.9999999999999999E-4</v>
      </c>
      <c r="E72" s="41">
        <f>+(C72-C$7)/C$8</f>
        <v>6250.989525975192</v>
      </c>
      <c r="F72" s="28">
        <f t="shared" si="8"/>
        <v>6251</v>
      </c>
      <c r="G72" s="28">
        <f>+C72-(C$7+F72*C$8)</f>
        <v>-2.4205000001529697E-2</v>
      </c>
      <c r="H72" s="28"/>
      <c r="I72" s="28"/>
      <c r="K72" s="28">
        <f>+G72</f>
        <v>-2.4205000001529697E-2</v>
      </c>
      <c r="L72" s="28"/>
      <c r="M72" s="28"/>
      <c r="N72" s="28"/>
      <c r="O72" s="28">
        <f ca="1">+C$11+C$12*$F72</f>
        <v>-2.56540973063367E-2</v>
      </c>
      <c r="P72" s="28"/>
      <c r="Q72" s="30">
        <f>+C72-15018.5</f>
        <v>40815.826500000003</v>
      </c>
    </row>
    <row r="73" spans="1:17" ht="12" customHeight="1" x14ac:dyDescent="0.2">
      <c r="A73" s="76" t="s">
        <v>279</v>
      </c>
      <c r="B73" s="77" t="s">
        <v>31</v>
      </c>
      <c r="C73" s="78">
        <v>59112.4139</v>
      </c>
      <c r="D73" s="76">
        <v>3.3E-3</v>
      </c>
      <c r="E73" s="41">
        <f>+(C73-C$7)/C$8</f>
        <v>7669.4885447791048</v>
      </c>
      <c r="F73" s="28">
        <f>ROUND(2*E73,0)/2</f>
        <v>7669.5</v>
      </c>
      <c r="G73" s="28">
        <f>+C73-(C$7+F73*C$8)</f>
        <v>-2.6472500001545995E-2</v>
      </c>
      <c r="H73" s="28"/>
      <c r="I73" s="28"/>
      <c r="K73" s="28">
        <f>+G73</f>
        <v>-2.6472500001545995E-2</v>
      </c>
      <c r="L73" s="28"/>
      <c r="M73" s="28"/>
      <c r="N73" s="28"/>
      <c r="O73" s="28">
        <f ca="1">+C$11+C$12*$F73</f>
        <v>-2.8016722497691514E-2</v>
      </c>
      <c r="P73" s="28"/>
      <c r="Q73" s="30">
        <f>+C73-15018.5</f>
        <v>44093.9139</v>
      </c>
    </row>
    <row r="74" spans="1:17" ht="12" customHeight="1" x14ac:dyDescent="0.2">
      <c r="A74" s="79" t="s">
        <v>280</v>
      </c>
      <c r="B74" s="80" t="s">
        <v>31</v>
      </c>
      <c r="C74" s="81">
        <v>59173.655899999998</v>
      </c>
      <c r="D74" s="82">
        <v>2.2000000000000001E-3</v>
      </c>
      <c r="E74" s="41">
        <f>+(C74-C$7)/C$8</f>
        <v>7695.9892771603063</v>
      </c>
      <c r="F74" s="28">
        <f>ROUND(2*E74,0)/2</f>
        <v>7696</v>
      </c>
      <c r="G74" s="28">
        <f>+C74-(C$7+F74*C$8)</f>
        <v>-2.4780000007012859E-2</v>
      </c>
      <c r="H74" s="28"/>
      <c r="I74" s="28"/>
      <c r="K74" s="28">
        <f>+G74</f>
        <v>-2.4780000007012859E-2</v>
      </c>
      <c r="L74" s="28"/>
      <c r="M74" s="28"/>
      <c r="N74" s="28"/>
      <c r="O74" s="28">
        <f ca="1">+C$11+C$12*$F74</f>
        <v>-2.8060860366969559E-2</v>
      </c>
      <c r="P74" s="28"/>
      <c r="Q74" s="30">
        <f>+C74-15018.5</f>
        <v>44155.155899999998</v>
      </c>
    </row>
    <row r="75" spans="1:17" ht="12" customHeight="1" x14ac:dyDescent="0.2">
      <c r="B75" s="4"/>
    </row>
    <row r="76" spans="1:17" ht="12" customHeight="1" x14ac:dyDescent="0.2">
      <c r="B76" s="4"/>
    </row>
    <row r="77" spans="1:17" ht="12" customHeight="1" x14ac:dyDescent="0.2">
      <c r="B77" s="4"/>
    </row>
    <row r="78" spans="1:17" ht="12" customHeight="1" x14ac:dyDescent="0.2">
      <c r="B78" s="4"/>
    </row>
    <row r="79" spans="1:17" ht="12" customHeight="1" x14ac:dyDescent="0.2">
      <c r="B79" s="4"/>
    </row>
    <row r="80" spans="1:17" ht="12" customHeight="1" x14ac:dyDescent="0.2">
      <c r="B80" s="4"/>
    </row>
    <row r="81" spans="2:2" ht="12" customHeight="1" x14ac:dyDescent="0.2">
      <c r="B81" s="4"/>
    </row>
    <row r="82" spans="2:2" ht="12" customHeight="1" x14ac:dyDescent="0.2">
      <c r="B82" s="4"/>
    </row>
    <row r="83" spans="2:2" ht="12" customHeight="1" x14ac:dyDescent="0.2">
      <c r="B83" s="4"/>
    </row>
    <row r="84" spans="2:2" ht="12" customHeight="1" x14ac:dyDescent="0.2">
      <c r="B84" s="4"/>
    </row>
    <row r="85" spans="2:2" ht="12" customHeight="1" x14ac:dyDescent="0.2">
      <c r="B85" s="4"/>
    </row>
    <row r="86" spans="2:2" ht="12" customHeight="1" x14ac:dyDescent="0.2">
      <c r="B86" s="4"/>
    </row>
    <row r="87" spans="2:2" ht="12" customHeight="1" x14ac:dyDescent="0.2">
      <c r="B87" s="4"/>
    </row>
    <row r="88" spans="2:2" ht="12" customHeight="1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</sheetData>
  <phoneticPr fontId="8" type="noConversion"/>
  <hyperlinks>
    <hyperlink ref="H247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16" workbookViewId="0">
      <selection activeCell="A33" sqref="A33:D59"/>
    </sheetView>
  </sheetViews>
  <sheetFormatPr defaultRowHeight="12.75" x14ac:dyDescent="0.2"/>
  <cols>
    <col min="1" max="1" width="19.7109375" style="49" customWidth="1"/>
    <col min="2" max="2" width="4.42578125" style="10" customWidth="1"/>
    <col min="3" max="3" width="12.7109375" style="49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49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58</v>
      </c>
      <c r="I1" s="50" t="s">
        <v>59</v>
      </c>
      <c r="J1" s="51" t="s">
        <v>60</v>
      </c>
    </row>
    <row r="2" spans="1:16" x14ac:dyDescent="0.2">
      <c r="I2" s="52" t="s">
        <v>61</v>
      </c>
      <c r="J2" s="53" t="s">
        <v>62</v>
      </c>
    </row>
    <row r="3" spans="1:16" x14ac:dyDescent="0.2">
      <c r="A3" s="54" t="s">
        <v>63</v>
      </c>
      <c r="I3" s="52" t="s">
        <v>64</v>
      </c>
      <c r="J3" s="53" t="s">
        <v>65</v>
      </c>
    </row>
    <row r="4" spans="1:16" x14ac:dyDescent="0.2">
      <c r="I4" s="52" t="s">
        <v>66</v>
      </c>
      <c r="J4" s="53" t="s">
        <v>65</v>
      </c>
    </row>
    <row r="5" spans="1:16" ht="13.5" thickBot="1" x14ac:dyDescent="0.25">
      <c r="I5" s="55" t="s">
        <v>67</v>
      </c>
      <c r="J5" s="56" t="s">
        <v>68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PASP 86.666 </v>
      </c>
      <c r="B11" s="4" t="str">
        <f t="shared" ref="B11:B42" si="1">IF(H11=INT(H11),"I","II")</f>
        <v>I</v>
      </c>
      <c r="C11" s="49">
        <f t="shared" ref="C11:C42" si="2">1*G11</f>
        <v>41388.571000000004</v>
      </c>
      <c r="D11" s="10" t="str">
        <f t="shared" ref="D11:D42" si="3">VLOOKUP(F11,I$1:J$5,2,FALSE)</f>
        <v>vis</v>
      </c>
      <c r="E11" s="57">
        <f>VLOOKUP(C11,Active!C$21:E$973,3,FALSE)</f>
        <v>0</v>
      </c>
      <c r="F11" s="4" t="s">
        <v>67</v>
      </c>
      <c r="G11" s="10" t="str">
        <f t="shared" ref="G11:G42" si="4">MID(I11,3,LEN(I11)-3)</f>
        <v>41388.571</v>
      </c>
      <c r="H11" s="49">
        <f t="shared" ref="H11:H42" si="5">1*K11</f>
        <v>0</v>
      </c>
      <c r="I11" s="58" t="s">
        <v>124</v>
      </c>
      <c r="J11" s="59" t="s">
        <v>125</v>
      </c>
      <c r="K11" s="58">
        <v>0</v>
      </c>
      <c r="L11" s="58" t="s">
        <v>126</v>
      </c>
      <c r="M11" s="59" t="s">
        <v>127</v>
      </c>
      <c r="N11" s="59" t="s">
        <v>128</v>
      </c>
      <c r="O11" s="60" t="s">
        <v>129</v>
      </c>
      <c r="P11" s="60" t="s">
        <v>130</v>
      </c>
    </row>
    <row r="12" spans="1:16" ht="12.75" customHeight="1" thickBot="1" x14ac:dyDescent="0.25">
      <c r="A12" s="49" t="str">
        <f t="shared" si="0"/>
        <v>BAVM 80 </v>
      </c>
      <c r="B12" s="4" t="str">
        <f t="shared" si="1"/>
        <v>I</v>
      </c>
      <c r="C12" s="49">
        <f t="shared" si="2"/>
        <v>49615.548000000003</v>
      </c>
      <c r="D12" s="10" t="str">
        <f t="shared" si="3"/>
        <v>vis</v>
      </c>
      <c r="E12" s="57">
        <f>VLOOKUP(C12,Active!C$21:E$973,3,FALSE)</f>
        <v>3559.9901339489516</v>
      </c>
      <c r="F12" s="4" t="s">
        <v>67</v>
      </c>
      <c r="G12" s="10" t="str">
        <f t="shared" si="4"/>
        <v>49615.5480</v>
      </c>
      <c r="H12" s="49">
        <f t="shared" si="5"/>
        <v>3560</v>
      </c>
      <c r="I12" s="58" t="s">
        <v>163</v>
      </c>
      <c r="J12" s="59" t="s">
        <v>164</v>
      </c>
      <c r="K12" s="58">
        <v>3560</v>
      </c>
      <c r="L12" s="58" t="s">
        <v>165</v>
      </c>
      <c r="M12" s="59" t="s">
        <v>127</v>
      </c>
      <c r="N12" s="59" t="s">
        <v>142</v>
      </c>
      <c r="O12" s="60" t="s">
        <v>154</v>
      </c>
      <c r="P12" s="61" t="s">
        <v>166</v>
      </c>
    </row>
    <row r="13" spans="1:16" ht="12.75" customHeight="1" thickBot="1" x14ac:dyDescent="0.25">
      <c r="A13" s="49" t="str">
        <f t="shared" si="0"/>
        <v>BAVM 80 </v>
      </c>
      <c r="B13" s="4" t="str">
        <f t="shared" si="1"/>
        <v>I</v>
      </c>
      <c r="C13" s="49">
        <f t="shared" si="2"/>
        <v>49615.551599999999</v>
      </c>
      <c r="D13" s="10" t="str">
        <f t="shared" si="3"/>
        <v>vis</v>
      </c>
      <c r="E13" s="57">
        <f>VLOOKUP(C13,Active!C$21:E$973,3,FALSE)</f>
        <v>3559.9916917464839</v>
      </c>
      <c r="F13" s="4" t="s">
        <v>67</v>
      </c>
      <c r="G13" s="10" t="str">
        <f t="shared" si="4"/>
        <v>49615.5516</v>
      </c>
      <c r="H13" s="49">
        <f t="shared" si="5"/>
        <v>3560</v>
      </c>
      <c r="I13" s="58" t="s">
        <v>167</v>
      </c>
      <c r="J13" s="59" t="s">
        <v>168</v>
      </c>
      <c r="K13" s="58">
        <v>3560</v>
      </c>
      <c r="L13" s="58" t="s">
        <v>169</v>
      </c>
      <c r="M13" s="59" t="s">
        <v>127</v>
      </c>
      <c r="N13" s="59" t="s">
        <v>153</v>
      </c>
      <c r="O13" s="60" t="s">
        <v>154</v>
      </c>
      <c r="P13" s="61" t="s">
        <v>166</v>
      </c>
    </row>
    <row r="14" spans="1:16" ht="12.75" customHeight="1" thickBot="1" x14ac:dyDescent="0.25">
      <c r="A14" s="49" t="str">
        <f t="shared" si="0"/>
        <v> JAAVSO 39;177 </v>
      </c>
      <c r="B14" s="4" t="str">
        <f t="shared" si="1"/>
        <v>I</v>
      </c>
      <c r="C14" s="49">
        <f t="shared" si="2"/>
        <v>50842.66</v>
      </c>
      <c r="D14" s="10" t="str">
        <f t="shared" si="3"/>
        <v>vis</v>
      </c>
      <c r="E14" s="57">
        <f>VLOOKUP(C14,Active!C$21:E$973,3,FALSE)</f>
        <v>4090.9879249055048</v>
      </c>
      <c r="F14" s="4" t="s">
        <v>67</v>
      </c>
      <c r="G14" s="10" t="str">
        <f t="shared" si="4"/>
        <v>50842.660</v>
      </c>
      <c r="H14" s="49">
        <f t="shared" si="5"/>
        <v>4091</v>
      </c>
      <c r="I14" s="58" t="s">
        <v>170</v>
      </c>
      <c r="J14" s="59" t="s">
        <v>171</v>
      </c>
      <c r="K14" s="58">
        <v>4091</v>
      </c>
      <c r="L14" s="58" t="s">
        <v>172</v>
      </c>
      <c r="M14" s="59" t="s">
        <v>173</v>
      </c>
      <c r="N14" s="59" t="s">
        <v>174</v>
      </c>
      <c r="O14" s="60" t="s">
        <v>175</v>
      </c>
      <c r="P14" s="60" t="s">
        <v>176</v>
      </c>
    </row>
    <row r="15" spans="1:16" ht="12.75" customHeight="1" thickBot="1" x14ac:dyDescent="0.25">
      <c r="A15" s="49" t="str">
        <f t="shared" si="0"/>
        <v> JAAVSO 39;177 </v>
      </c>
      <c r="B15" s="4" t="str">
        <f t="shared" si="1"/>
        <v>I</v>
      </c>
      <c r="C15" s="49">
        <f t="shared" si="2"/>
        <v>51466.618000000002</v>
      </c>
      <c r="D15" s="10" t="str">
        <f t="shared" si="3"/>
        <v>vis</v>
      </c>
      <c r="E15" s="57">
        <f>VLOOKUP(C15,Active!C$21:E$973,3,FALSE)</f>
        <v>4360.9879898137351</v>
      </c>
      <c r="F15" s="4" t="s">
        <v>67</v>
      </c>
      <c r="G15" s="10" t="str">
        <f t="shared" si="4"/>
        <v>51466.618</v>
      </c>
      <c r="H15" s="49">
        <f t="shared" si="5"/>
        <v>4361</v>
      </c>
      <c r="I15" s="58" t="s">
        <v>177</v>
      </c>
      <c r="J15" s="59" t="s">
        <v>178</v>
      </c>
      <c r="K15" s="58">
        <v>4361</v>
      </c>
      <c r="L15" s="58" t="s">
        <v>172</v>
      </c>
      <c r="M15" s="59" t="s">
        <v>173</v>
      </c>
      <c r="N15" s="59" t="s">
        <v>174</v>
      </c>
      <c r="O15" s="60" t="s">
        <v>175</v>
      </c>
      <c r="P15" s="60" t="s">
        <v>176</v>
      </c>
    </row>
    <row r="16" spans="1:16" ht="12.75" customHeight="1" thickBot="1" x14ac:dyDescent="0.25">
      <c r="A16" s="49" t="str">
        <f t="shared" si="0"/>
        <v>IBVS 5594 </v>
      </c>
      <c r="B16" s="4" t="str">
        <f t="shared" si="1"/>
        <v>I</v>
      </c>
      <c r="C16" s="49">
        <f t="shared" si="2"/>
        <v>52587.440499999997</v>
      </c>
      <c r="D16" s="10" t="str">
        <f t="shared" si="3"/>
        <v>vis</v>
      </c>
      <c r="E16" s="57">
        <f>VLOOKUP(C16,Active!C$21:E$973,3,FALSE)</f>
        <v>4845.9920249420666</v>
      </c>
      <c r="F16" s="4" t="s">
        <v>67</v>
      </c>
      <c r="G16" s="10" t="str">
        <f t="shared" si="4"/>
        <v>52587.4405</v>
      </c>
      <c r="H16" s="49">
        <f t="shared" si="5"/>
        <v>4846</v>
      </c>
      <c r="I16" s="58" t="s">
        <v>179</v>
      </c>
      <c r="J16" s="59" t="s">
        <v>180</v>
      </c>
      <c r="K16" s="58">
        <v>4846</v>
      </c>
      <c r="L16" s="58" t="s">
        <v>181</v>
      </c>
      <c r="M16" s="59" t="s">
        <v>127</v>
      </c>
      <c r="N16" s="59" t="s">
        <v>128</v>
      </c>
      <c r="O16" s="60" t="s">
        <v>182</v>
      </c>
      <c r="P16" s="61" t="s">
        <v>183</v>
      </c>
    </row>
    <row r="17" spans="1:16" ht="12.75" customHeight="1" thickBot="1" x14ac:dyDescent="0.25">
      <c r="A17" s="49" t="str">
        <f t="shared" si="0"/>
        <v>IBVS 5694 </v>
      </c>
      <c r="B17" s="4" t="str">
        <f t="shared" si="1"/>
        <v>II</v>
      </c>
      <c r="C17" s="49">
        <f t="shared" si="2"/>
        <v>53314.225400000003</v>
      </c>
      <c r="D17" s="10" t="str">
        <f t="shared" si="3"/>
        <v>vis</v>
      </c>
      <c r="E17" s="57">
        <f>VLOOKUP(C17,Active!C$21:E$973,3,FALSE)</f>
        <v>5160.4875040838097</v>
      </c>
      <c r="F17" s="4" t="s">
        <v>67</v>
      </c>
      <c r="G17" s="10" t="str">
        <f t="shared" si="4"/>
        <v>53314.2254</v>
      </c>
      <c r="H17" s="49">
        <f t="shared" si="5"/>
        <v>5160.5</v>
      </c>
      <c r="I17" s="58" t="s">
        <v>184</v>
      </c>
      <c r="J17" s="59" t="s">
        <v>185</v>
      </c>
      <c r="K17" s="58">
        <v>5160.5</v>
      </c>
      <c r="L17" s="58" t="s">
        <v>186</v>
      </c>
      <c r="M17" s="59" t="s">
        <v>127</v>
      </c>
      <c r="N17" s="59" t="s">
        <v>128</v>
      </c>
      <c r="O17" s="60" t="s">
        <v>187</v>
      </c>
      <c r="P17" s="61" t="s">
        <v>188</v>
      </c>
    </row>
    <row r="18" spans="1:16" ht="12.75" customHeight="1" thickBot="1" x14ac:dyDescent="0.25">
      <c r="A18" s="49" t="str">
        <f t="shared" si="0"/>
        <v>BAVM 178 </v>
      </c>
      <c r="B18" s="4" t="str">
        <f t="shared" si="1"/>
        <v>I</v>
      </c>
      <c r="C18" s="49">
        <f t="shared" si="2"/>
        <v>53657.406199999998</v>
      </c>
      <c r="D18" s="10" t="str">
        <f t="shared" si="3"/>
        <v>vis</v>
      </c>
      <c r="E18" s="57">
        <f>VLOOKUP(C18,Active!C$21:E$973,3,FALSE)</f>
        <v>5308.9892273973292</v>
      </c>
      <c r="F18" s="4" t="s">
        <v>67</v>
      </c>
      <c r="G18" s="10" t="str">
        <f t="shared" si="4"/>
        <v>53657.4062</v>
      </c>
      <c r="H18" s="49">
        <f t="shared" si="5"/>
        <v>5309</v>
      </c>
      <c r="I18" s="58" t="s">
        <v>189</v>
      </c>
      <c r="J18" s="59" t="s">
        <v>190</v>
      </c>
      <c r="K18" s="58">
        <v>5309</v>
      </c>
      <c r="L18" s="58" t="s">
        <v>191</v>
      </c>
      <c r="M18" s="59" t="s">
        <v>173</v>
      </c>
      <c r="N18" s="59" t="s">
        <v>174</v>
      </c>
      <c r="O18" s="60" t="s">
        <v>192</v>
      </c>
      <c r="P18" s="61" t="s">
        <v>193</v>
      </c>
    </row>
    <row r="19" spans="1:16" ht="12.75" customHeight="1" thickBot="1" x14ac:dyDescent="0.25">
      <c r="A19" s="49" t="str">
        <f t="shared" si="0"/>
        <v>IBVS 5760 </v>
      </c>
      <c r="B19" s="4" t="str">
        <f t="shared" si="1"/>
        <v>I</v>
      </c>
      <c r="C19" s="49">
        <f t="shared" si="2"/>
        <v>53980.9378</v>
      </c>
      <c r="D19" s="10" t="str">
        <f t="shared" si="3"/>
        <v>vis</v>
      </c>
      <c r="E19" s="57">
        <f>VLOOKUP(C19,Active!C$21:E$973,3,FALSE)</f>
        <v>5448.9883186821016</v>
      </c>
      <c r="F19" s="4" t="s">
        <v>67</v>
      </c>
      <c r="G19" s="10" t="str">
        <f t="shared" si="4"/>
        <v>53980.9378</v>
      </c>
      <c r="H19" s="49">
        <f t="shared" si="5"/>
        <v>5449</v>
      </c>
      <c r="I19" s="58" t="s">
        <v>194</v>
      </c>
      <c r="J19" s="59" t="s">
        <v>195</v>
      </c>
      <c r="K19" s="58">
        <v>5449</v>
      </c>
      <c r="L19" s="58" t="s">
        <v>196</v>
      </c>
      <c r="M19" s="59" t="s">
        <v>173</v>
      </c>
      <c r="N19" s="59" t="s">
        <v>197</v>
      </c>
      <c r="O19" s="60" t="s">
        <v>198</v>
      </c>
      <c r="P19" s="61" t="s">
        <v>199</v>
      </c>
    </row>
    <row r="20" spans="1:16" ht="12.75" customHeight="1" thickBot="1" x14ac:dyDescent="0.25">
      <c r="A20" s="49" t="str">
        <f t="shared" si="0"/>
        <v>BAVM 183 </v>
      </c>
      <c r="B20" s="4" t="str">
        <f t="shared" si="1"/>
        <v>I</v>
      </c>
      <c r="C20" s="49">
        <f t="shared" si="2"/>
        <v>54050.266900000002</v>
      </c>
      <c r="D20" s="10" t="str">
        <f t="shared" si="3"/>
        <v>vis</v>
      </c>
      <c r="E20" s="57">
        <f>VLOOKUP(C20,Active!C$21:E$973,3,FALSE)</f>
        <v>5478.9885134067945</v>
      </c>
      <c r="F20" s="4" t="s">
        <v>67</v>
      </c>
      <c r="G20" s="10" t="str">
        <f t="shared" si="4"/>
        <v>54050.2669</v>
      </c>
      <c r="H20" s="49">
        <f t="shared" si="5"/>
        <v>5479</v>
      </c>
      <c r="I20" s="58" t="s">
        <v>200</v>
      </c>
      <c r="J20" s="59" t="s">
        <v>201</v>
      </c>
      <c r="K20" s="58">
        <v>5479</v>
      </c>
      <c r="L20" s="58" t="s">
        <v>202</v>
      </c>
      <c r="M20" s="59" t="s">
        <v>173</v>
      </c>
      <c r="N20" s="59" t="s">
        <v>174</v>
      </c>
      <c r="O20" s="60" t="s">
        <v>203</v>
      </c>
      <c r="P20" s="61" t="s">
        <v>204</v>
      </c>
    </row>
    <row r="21" spans="1:16" ht="12.75" customHeight="1" thickBot="1" x14ac:dyDescent="0.25">
      <c r="A21" s="49" t="str">
        <f t="shared" si="0"/>
        <v>IBVS 5753 </v>
      </c>
      <c r="B21" s="4" t="str">
        <f t="shared" si="1"/>
        <v>I</v>
      </c>
      <c r="C21" s="49">
        <f t="shared" si="2"/>
        <v>54066.443700000003</v>
      </c>
      <c r="D21" s="10" t="str">
        <f t="shared" si="3"/>
        <v>vis</v>
      </c>
      <c r="E21" s="57">
        <f>VLOOKUP(C21,Active!C$21:E$973,3,FALSE)</f>
        <v>5485.9885631697716</v>
      </c>
      <c r="F21" s="4" t="s">
        <v>67</v>
      </c>
      <c r="G21" s="10" t="str">
        <f t="shared" si="4"/>
        <v>54066.4437</v>
      </c>
      <c r="H21" s="49">
        <f t="shared" si="5"/>
        <v>5486</v>
      </c>
      <c r="I21" s="58" t="s">
        <v>205</v>
      </c>
      <c r="J21" s="59" t="s">
        <v>206</v>
      </c>
      <c r="K21" s="58">
        <v>5486</v>
      </c>
      <c r="L21" s="58" t="s">
        <v>207</v>
      </c>
      <c r="M21" s="59" t="s">
        <v>127</v>
      </c>
      <c r="N21" s="59" t="s">
        <v>128</v>
      </c>
      <c r="O21" s="60" t="s">
        <v>208</v>
      </c>
      <c r="P21" s="61" t="s">
        <v>209</v>
      </c>
    </row>
    <row r="22" spans="1:16" ht="12.75" customHeight="1" thickBot="1" x14ac:dyDescent="0.25">
      <c r="A22" s="49" t="str">
        <f t="shared" si="0"/>
        <v>IBVS 6114 </v>
      </c>
      <c r="B22" s="4" t="str">
        <f t="shared" si="1"/>
        <v>I</v>
      </c>
      <c r="C22" s="49">
        <f t="shared" si="2"/>
        <v>54750.488120000002</v>
      </c>
      <c r="D22" s="10" t="str">
        <f t="shared" si="3"/>
        <v>vis</v>
      </c>
      <c r="E22" s="57">
        <f>VLOOKUP(C22,Active!C$21:E$973,3,FALSE)</f>
        <v>5781.989316105246</v>
      </c>
      <c r="F22" s="4" t="s">
        <v>67</v>
      </c>
      <c r="G22" s="10" t="str">
        <f t="shared" si="4"/>
        <v>54750.48812</v>
      </c>
      <c r="H22" s="49">
        <f t="shared" si="5"/>
        <v>5782</v>
      </c>
      <c r="I22" s="58" t="s">
        <v>210</v>
      </c>
      <c r="J22" s="59" t="s">
        <v>211</v>
      </c>
      <c r="K22" s="58">
        <v>5782</v>
      </c>
      <c r="L22" s="58" t="s">
        <v>212</v>
      </c>
      <c r="M22" s="59" t="s">
        <v>173</v>
      </c>
      <c r="N22" s="59" t="s">
        <v>213</v>
      </c>
      <c r="O22" s="60" t="s">
        <v>214</v>
      </c>
      <c r="P22" s="61" t="s">
        <v>215</v>
      </c>
    </row>
    <row r="23" spans="1:16" ht="12.75" customHeight="1" thickBot="1" x14ac:dyDescent="0.25">
      <c r="A23" s="49" t="str">
        <f t="shared" si="0"/>
        <v>IBVS 6114 </v>
      </c>
      <c r="B23" s="4" t="str">
        <f t="shared" si="1"/>
        <v>II</v>
      </c>
      <c r="C23" s="49">
        <f t="shared" si="2"/>
        <v>54758.577929999999</v>
      </c>
      <c r="D23" s="10" t="str">
        <f t="shared" si="3"/>
        <v>vis</v>
      </c>
      <c r="E23" s="57">
        <f>VLOOKUP(C23,Active!C$21:E$973,3,FALSE)</f>
        <v>5785.489951124101</v>
      </c>
      <c r="F23" s="4" t="s">
        <v>67</v>
      </c>
      <c r="G23" s="10" t="str">
        <f t="shared" si="4"/>
        <v>54758.57793</v>
      </c>
      <c r="H23" s="49">
        <f t="shared" si="5"/>
        <v>5785.5</v>
      </c>
      <c r="I23" s="58" t="s">
        <v>216</v>
      </c>
      <c r="J23" s="59" t="s">
        <v>217</v>
      </c>
      <c r="K23" s="58">
        <v>5785.5</v>
      </c>
      <c r="L23" s="58" t="s">
        <v>218</v>
      </c>
      <c r="M23" s="59" t="s">
        <v>173</v>
      </c>
      <c r="N23" s="59" t="s">
        <v>213</v>
      </c>
      <c r="O23" s="60" t="s">
        <v>214</v>
      </c>
      <c r="P23" s="61" t="s">
        <v>215</v>
      </c>
    </row>
    <row r="24" spans="1:16" ht="12.75" customHeight="1" thickBot="1" x14ac:dyDescent="0.25">
      <c r="A24" s="49" t="str">
        <f t="shared" si="0"/>
        <v>IBVS 5933 </v>
      </c>
      <c r="B24" s="4" t="str">
        <f t="shared" si="1"/>
        <v>I</v>
      </c>
      <c r="C24" s="49">
        <f t="shared" si="2"/>
        <v>54838.306199999999</v>
      </c>
      <c r="D24" s="10" t="str">
        <f t="shared" si="3"/>
        <v>vis</v>
      </c>
      <c r="E24" s="57">
        <f>VLOOKUP(C24,Active!C$21:E$973,3,FALSE)</f>
        <v>5819.9900906767962</v>
      </c>
      <c r="F24" s="4" t="s">
        <v>67</v>
      </c>
      <c r="G24" s="10" t="str">
        <f t="shared" si="4"/>
        <v>54838.3062</v>
      </c>
      <c r="H24" s="49">
        <f t="shared" si="5"/>
        <v>5820</v>
      </c>
      <c r="I24" s="58" t="s">
        <v>219</v>
      </c>
      <c r="J24" s="59" t="s">
        <v>220</v>
      </c>
      <c r="K24" s="58">
        <v>5820</v>
      </c>
      <c r="L24" s="58" t="s">
        <v>221</v>
      </c>
      <c r="M24" s="59" t="s">
        <v>173</v>
      </c>
      <c r="N24" s="59" t="s">
        <v>67</v>
      </c>
      <c r="O24" s="60" t="s">
        <v>222</v>
      </c>
      <c r="P24" s="61" t="s">
        <v>223</v>
      </c>
    </row>
    <row r="25" spans="1:16" ht="12.75" customHeight="1" thickBot="1" x14ac:dyDescent="0.25">
      <c r="A25" s="49" t="str">
        <f t="shared" si="0"/>
        <v>IBVS 5929 </v>
      </c>
      <c r="B25" s="4" t="str">
        <f t="shared" si="1"/>
        <v>I</v>
      </c>
      <c r="C25" s="49">
        <f t="shared" si="2"/>
        <v>55087.89</v>
      </c>
      <c r="D25" s="10" t="str">
        <f t="shared" si="3"/>
        <v>vis</v>
      </c>
      <c r="E25" s="57">
        <f>VLOOKUP(C25,Active!C$21:E$973,3,FALSE)</f>
        <v>5927.990376273011</v>
      </c>
      <c r="F25" s="4" t="s">
        <v>67</v>
      </c>
      <c r="G25" s="10" t="str">
        <f t="shared" si="4"/>
        <v>55087.890</v>
      </c>
      <c r="H25" s="49">
        <f t="shared" si="5"/>
        <v>5928</v>
      </c>
      <c r="I25" s="58" t="s">
        <v>224</v>
      </c>
      <c r="J25" s="59" t="s">
        <v>225</v>
      </c>
      <c r="K25" s="58">
        <v>5928</v>
      </c>
      <c r="L25" s="58" t="s">
        <v>226</v>
      </c>
      <c r="M25" s="59" t="s">
        <v>173</v>
      </c>
      <c r="N25" s="59" t="s">
        <v>197</v>
      </c>
      <c r="O25" s="60" t="s">
        <v>198</v>
      </c>
      <c r="P25" s="61" t="s">
        <v>227</v>
      </c>
    </row>
    <row r="26" spans="1:16" ht="12.75" customHeight="1" thickBot="1" x14ac:dyDescent="0.25">
      <c r="A26" s="49" t="str">
        <f t="shared" si="0"/>
        <v>IBVS 6007 </v>
      </c>
      <c r="B26" s="4" t="str">
        <f t="shared" si="1"/>
        <v>II</v>
      </c>
      <c r="C26" s="49">
        <f t="shared" si="2"/>
        <v>55872.460749999998</v>
      </c>
      <c r="D26" s="10" t="str">
        <f t="shared" si="3"/>
        <v>vis</v>
      </c>
      <c r="E26" s="57">
        <f>VLOOKUP(C26,Active!C$21:E$973,3,FALSE)</f>
        <v>6267.4910372551585</v>
      </c>
      <c r="F26" s="4" t="s">
        <v>67</v>
      </c>
      <c r="G26" s="10" t="str">
        <f t="shared" si="4"/>
        <v>55872.46075</v>
      </c>
      <c r="H26" s="49">
        <f t="shared" si="5"/>
        <v>6267.5</v>
      </c>
      <c r="I26" s="58" t="s">
        <v>228</v>
      </c>
      <c r="J26" s="59" t="s">
        <v>229</v>
      </c>
      <c r="K26" s="58">
        <v>6267.5</v>
      </c>
      <c r="L26" s="58" t="s">
        <v>230</v>
      </c>
      <c r="M26" s="59" t="s">
        <v>173</v>
      </c>
      <c r="N26" s="59" t="s">
        <v>231</v>
      </c>
      <c r="O26" s="60" t="s">
        <v>232</v>
      </c>
      <c r="P26" s="61" t="s">
        <v>233</v>
      </c>
    </row>
    <row r="27" spans="1:16" ht="12.75" customHeight="1" thickBot="1" x14ac:dyDescent="0.25">
      <c r="A27" s="49" t="str">
        <f t="shared" si="0"/>
        <v>IBVS 6011 </v>
      </c>
      <c r="B27" s="4" t="str">
        <f t="shared" si="1"/>
        <v>I</v>
      </c>
      <c r="C27" s="49">
        <f t="shared" si="2"/>
        <v>55903.653200000001</v>
      </c>
      <c r="D27" s="10" t="str">
        <f t="shared" si="3"/>
        <v>vis</v>
      </c>
      <c r="E27" s="57">
        <f>VLOOKUP(C27,Active!C$21:E$973,3,FALSE)</f>
        <v>6280.9886821681939</v>
      </c>
      <c r="F27" s="4" t="s">
        <v>67</v>
      </c>
      <c r="G27" s="10" t="str">
        <f t="shared" si="4"/>
        <v>55903.6532</v>
      </c>
      <c r="H27" s="49">
        <f t="shared" si="5"/>
        <v>6281</v>
      </c>
      <c r="I27" s="58" t="s">
        <v>243</v>
      </c>
      <c r="J27" s="59" t="s">
        <v>244</v>
      </c>
      <c r="K27" s="58" t="s">
        <v>245</v>
      </c>
      <c r="L27" s="58" t="s">
        <v>246</v>
      </c>
      <c r="M27" s="59" t="s">
        <v>173</v>
      </c>
      <c r="N27" s="59" t="s">
        <v>67</v>
      </c>
      <c r="O27" s="60" t="s">
        <v>247</v>
      </c>
      <c r="P27" s="61" t="s">
        <v>248</v>
      </c>
    </row>
    <row r="28" spans="1:16" ht="12.75" customHeight="1" thickBot="1" x14ac:dyDescent="0.25">
      <c r="A28" s="49" t="str">
        <f t="shared" si="0"/>
        <v>BAVM 234 </v>
      </c>
      <c r="B28" s="4" t="str">
        <f t="shared" si="1"/>
        <v>I</v>
      </c>
      <c r="C28" s="49">
        <f t="shared" si="2"/>
        <v>56585.381399999998</v>
      </c>
      <c r="D28" s="10" t="str">
        <f t="shared" si="3"/>
        <v>vis</v>
      </c>
      <c r="E28" s="57">
        <f>VLOOKUP(C28,Active!C$21:E$973,3,FALSE)</f>
        <v>6575.9871568247736</v>
      </c>
      <c r="F28" s="4" t="s">
        <v>67</v>
      </c>
      <c r="G28" s="10" t="str">
        <f t="shared" si="4"/>
        <v>56585.3814</v>
      </c>
      <c r="H28" s="49">
        <f t="shared" si="5"/>
        <v>6576</v>
      </c>
      <c r="I28" s="58" t="s">
        <v>254</v>
      </c>
      <c r="J28" s="59" t="s">
        <v>255</v>
      </c>
      <c r="K28" s="58" t="s">
        <v>256</v>
      </c>
      <c r="L28" s="58" t="s">
        <v>257</v>
      </c>
      <c r="M28" s="59" t="s">
        <v>173</v>
      </c>
      <c r="N28" s="59" t="s">
        <v>236</v>
      </c>
      <c r="O28" s="60" t="s">
        <v>154</v>
      </c>
      <c r="P28" s="61" t="s">
        <v>258</v>
      </c>
    </row>
    <row r="29" spans="1:16" ht="12.75" customHeight="1" thickBot="1" x14ac:dyDescent="0.25">
      <c r="A29" s="49" t="str">
        <f t="shared" si="0"/>
        <v>BAVM 234 </v>
      </c>
      <c r="B29" s="4" t="str">
        <f t="shared" si="1"/>
        <v>I</v>
      </c>
      <c r="C29" s="49">
        <f t="shared" si="2"/>
        <v>56592.316599999998</v>
      </c>
      <c r="D29" s="10" t="str">
        <f t="shared" si="3"/>
        <v>vis</v>
      </c>
      <c r="E29" s="57">
        <f>VLOOKUP(C29,Active!C$21:E$973,3,FALSE)</f>
        <v>6578.9881672295633</v>
      </c>
      <c r="F29" s="4" t="s">
        <v>67</v>
      </c>
      <c r="G29" s="10" t="str">
        <f t="shared" si="4"/>
        <v>56592.3166</v>
      </c>
      <c r="H29" s="49">
        <f t="shared" si="5"/>
        <v>6579</v>
      </c>
      <c r="I29" s="58" t="s">
        <v>259</v>
      </c>
      <c r="J29" s="59" t="s">
        <v>260</v>
      </c>
      <c r="K29" s="58" t="s">
        <v>261</v>
      </c>
      <c r="L29" s="58" t="s">
        <v>262</v>
      </c>
      <c r="M29" s="59" t="s">
        <v>173</v>
      </c>
      <c r="N29" s="59" t="s">
        <v>236</v>
      </c>
      <c r="O29" s="60" t="s">
        <v>154</v>
      </c>
      <c r="P29" s="61" t="s">
        <v>258</v>
      </c>
    </row>
    <row r="30" spans="1:16" ht="12.75" customHeight="1" thickBot="1" x14ac:dyDescent="0.25">
      <c r="A30" s="49" t="str">
        <f t="shared" si="0"/>
        <v>BAVM 234 </v>
      </c>
      <c r="B30" s="4" t="str">
        <f t="shared" si="1"/>
        <v>II</v>
      </c>
      <c r="C30" s="49">
        <f t="shared" si="2"/>
        <v>56644.3099</v>
      </c>
      <c r="D30" s="10" t="str">
        <f t="shared" si="3"/>
        <v>vis</v>
      </c>
      <c r="E30" s="57">
        <f>VLOOKUP(C30,Active!C$21:E$973,3,FALSE)</f>
        <v>6601.4867879296644</v>
      </c>
      <c r="F30" s="4" t="s">
        <v>67</v>
      </c>
      <c r="G30" s="10" t="str">
        <f t="shared" si="4"/>
        <v>56644.3099</v>
      </c>
      <c r="H30" s="49">
        <f t="shared" si="5"/>
        <v>6601.5</v>
      </c>
      <c r="I30" s="58" t="s">
        <v>263</v>
      </c>
      <c r="J30" s="59" t="s">
        <v>264</v>
      </c>
      <c r="K30" s="58" t="s">
        <v>265</v>
      </c>
      <c r="L30" s="58" t="s">
        <v>266</v>
      </c>
      <c r="M30" s="59" t="s">
        <v>173</v>
      </c>
      <c r="N30" s="59" t="s">
        <v>236</v>
      </c>
      <c r="O30" s="60" t="s">
        <v>154</v>
      </c>
      <c r="P30" s="61" t="s">
        <v>258</v>
      </c>
    </row>
    <row r="31" spans="1:16" ht="12.75" customHeight="1" thickBot="1" x14ac:dyDescent="0.25">
      <c r="A31" s="49" t="str">
        <f t="shared" si="0"/>
        <v>BAVM 238 </v>
      </c>
      <c r="B31" s="4" t="str">
        <f t="shared" si="1"/>
        <v>I</v>
      </c>
      <c r="C31" s="49">
        <f t="shared" si="2"/>
        <v>56682.439299999998</v>
      </c>
      <c r="D31" s="10" t="str">
        <f t="shared" si="3"/>
        <v>vis</v>
      </c>
      <c r="E31" s="57">
        <f>VLOOKUP(C31,Active!C$21:E$973,3,FALSE)</f>
        <v>6617.9862005101768</v>
      </c>
      <c r="F31" s="4" t="s">
        <v>67</v>
      </c>
      <c r="G31" s="10" t="str">
        <f t="shared" si="4"/>
        <v>56682.4393</v>
      </c>
      <c r="H31" s="49">
        <f t="shared" si="5"/>
        <v>6618</v>
      </c>
      <c r="I31" s="58" t="s">
        <v>267</v>
      </c>
      <c r="J31" s="59" t="s">
        <v>268</v>
      </c>
      <c r="K31" s="58" t="s">
        <v>269</v>
      </c>
      <c r="L31" s="58" t="s">
        <v>270</v>
      </c>
      <c r="M31" s="59" t="s">
        <v>173</v>
      </c>
      <c r="N31" s="59" t="s">
        <v>67</v>
      </c>
      <c r="O31" s="60" t="s">
        <v>253</v>
      </c>
      <c r="P31" s="61" t="s">
        <v>271</v>
      </c>
    </row>
    <row r="32" spans="1:16" ht="12.75" customHeight="1" thickBot="1" x14ac:dyDescent="0.25">
      <c r="A32" s="49" t="str">
        <f t="shared" si="0"/>
        <v>BAVM 239 </v>
      </c>
      <c r="B32" s="4" t="str">
        <f t="shared" si="1"/>
        <v>I</v>
      </c>
      <c r="C32" s="49">
        <f t="shared" si="2"/>
        <v>56934.339899999999</v>
      </c>
      <c r="D32" s="10" t="str">
        <f t="shared" si="3"/>
        <v>vis</v>
      </c>
      <c r="E32" s="57">
        <f>VLOOKUP(C32,Active!C$21:E$973,3,FALSE)</f>
        <v>6726.9890153637762</v>
      </c>
      <c r="F32" s="4" t="s">
        <v>67</v>
      </c>
      <c r="G32" s="10" t="str">
        <f t="shared" si="4"/>
        <v>56934.3399</v>
      </c>
      <c r="H32" s="49">
        <f t="shared" si="5"/>
        <v>6727</v>
      </c>
      <c r="I32" s="58" t="s">
        <v>272</v>
      </c>
      <c r="J32" s="59" t="s">
        <v>273</v>
      </c>
      <c r="K32" s="58" t="s">
        <v>274</v>
      </c>
      <c r="L32" s="58" t="s">
        <v>275</v>
      </c>
      <c r="M32" s="59" t="s">
        <v>173</v>
      </c>
      <c r="N32" s="59" t="s">
        <v>236</v>
      </c>
      <c r="O32" s="60" t="s">
        <v>154</v>
      </c>
      <c r="P32" s="61" t="s">
        <v>276</v>
      </c>
    </row>
    <row r="33" spans="1:16" ht="12.75" customHeight="1" thickBot="1" x14ac:dyDescent="0.25">
      <c r="A33" s="49" t="str">
        <f t="shared" si="0"/>
        <v> VSS 1.81 </v>
      </c>
      <c r="B33" s="4" t="str">
        <f t="shared" si="1"/>
        <v>I</v>
      </c>
      <c r="C33" s="49">
        <f t="shared" si="2"/>
        <v>28180.31</v>
      </c>
      <c r="D33" s="10" t="str">
        <f t="shared" si="3"/>
        <v>vis</v>
      </c>
      <c r="E33" s="57">
        <f>VLOOKUP(C33,Active!C$21:E$973,3,FALSE)</f>
        <v>-5715.4990036586623</v>
      </c>
      <c r="F33" s="4" t="s">
        <v>67</v>
      </c>
      <c r="G33" s="10" t="str">
        <f t="shared" si="4"/>
        <v>28180.31</v>
      </c>
      <c r="H33" s="49">
        <f t="shared" si="5"/>
        <v>-5721</v>
      </c>
      <c r="I33" s="58" t="s">
        <v>70</v>
      </c>
      <c r="J33" s="59" t="s">
        <v>71</v>
      </c>
      <c r="K33" s="58">
        <v>-5721</v>
      </c>
      <c r="L33" s="58" t="s">
        <v>72</v>
      </c>
      <c r="M33" s="59" t="s">
        <v>73</v>
      </c>
      <c r="N33" s="59"/>
      <c r="O33" s="60" t="s">
        <v>74</v>
      </c>
      <c r="P33" s="60" t="s">
        <v>75</v>
      </c>
    </row>
    <row r="34" spans="1:16" ht="12.75" customHeight="1" thickBot="1" x14ac:dyDescent="0.25">
      <c r="A34" s="49" t="str">
        <f t="shared" si="0"/>
        <v> VSS 1.81 </v>
      </c>
      <c r="B34" s="4" t="str">
        <f t="shared" si="1"/>
        <v>I</v>
      </c>
      <c r="C34" s="49">
        <f t="shared" si="2"/>
        <v>28427.599999999999</v>
      </c>
      <c r="D34" s="10" t="str">
        <f t="shared" si="3"/>
        <v>vis</v>
      </c>
      <c r="E34" s="57">
        <f>VLOOKUP(C34,Active!C$21:E$973,3,FALSE)</f>
        <v>-5608.4912947244775</v>
      </c>
      <c r="F34" s="4" t="s">
        <v>67</v>
      </c>
      <c r="G34" s="10" t="str">
        <f t="shared" si="4"/>
        <v>28427.60</v>
      </c>
      <c r="H34" s="49">
        <f t="shared" si="5"/>
        <v>-5614</v>
      </c>
      <c r="I34" s="58" t="s">
        <v>76</v>
      </c>
      <c r="J34" s="59" t="s">
        <v>77</v>
      </c>
      <c r="K34" s="58">
        <v>-5614</v>
      </c>
      <c r="L34" s="58" t="s">
        <v>78</v>
      </c>
      <c r="M34" s="59" t="s">
        <v>73</v>
      </c>
      <c r="N34" s="59"/>
      <c r="O34" s="60" t="s">
        <v>74</v>
      </c>
      <c r="P34" s="60" t="s">
        <v>75</v>
      </c>
    </row>
    <row r="35" spans="1:16" ht="12.75" customHeight="1" thickBot="1" x14ac:dyDescent="0.25">
      <c r="A35" s="49" t="str">
        <f t="shared" si="0"/>
        <v> VSS 1.81 </v>
      </c>
      <c r="B35" s="4" t="str">
        <f t="shared" si="1"/>
        <v>II</v>
      </c>
      <c r="C35" s="49">
        <f t="shared" si="2"/>
        <v>28835.51</v>
      </c>
      <c r="D35" s="10" t="str">
        <f t="shared" si="3"/>
        <v>vis</v>
      </c>
      <c r="E35" s="57">
        <f>VLOOKUP(C35,Active!C$21:E$973,3,FALSE)</f>
        <v>-5431.9798524852304</v>
      </c>
      <c r="F35" s="4" t="s">
        <v>67</v>
      </c>
      <c r="G35" s="10" t="str">
        <f t="shared" si="4"/>
        <v>28835.51</v>
      </c>
      <c r="H35" s="49">
        <f t="shared" si="5"/>
        <v>-5437.5</v>
      </c>
      <c r="I35" s="58" t="s">
        <v>79</v>
      </c>
      <c r="J35" s="59" t="s">
        <v>80</v>
      </c>
      <c r="K35" s="58">
        <v>-5437.5</v>
      </c>
      <c r="L35" s="58" t="s">
        <v>81</v>
      </c>
      <c r="M35" s="59" t="s">
        <v>73</v>
      </c>
      <c r="N35" s="59"/>
      <c r="O35" s="60" t="s">
        <v>74</v>
      </c>
      <c r="P35" s="60" t="s">
        <v>75</v>
      </c>
    </row>
    <row r="36" spans="1:16" ht="12.75" customHeight="1" thickBot="1" x14ac:dyDescent="0.25">
      <c r="A36" s="49" t="str">
        <f t="shared" si="0"/>
        <v> VSS 1.81 </v>
      </c>
      <c r="B36" s="4" t="str">
        <f t="shared" si="1"/>
        <v>II</v>
      </c>
      <c r="C36" s="49">
        <f t="shared" si="2"/>
        <v>28865.42</v>
      </c>
      <c r="D36" s="10" t="str">
        <f t="shared" si="3"/>
        <v>vis</v>
      </c>
      <c r="E36" s="57">
        <f>VLOOKUP(C36,Active!C$21:E$973,3,FALSE)</f>
        <v>-5419.0371513075788</v>
      </c>
      <c r="F36" s="4" t="s">
        <v>67</v>
      </c>
      <c r="G36" s="10" t="str">
        <f t="shared" si="4"/>
        <v>28865.42</v>
      </c>
      <c r="H36" s="49">
        <f t="shared" si="5"/>
        <v>-5424.5</v>
      </c>
      <c r="I36" s="58" t="s">
        <v>82</v>
      </c>
      <c r="J36" s="59" t="s">
        <v>83</v>
      </c>
      <c r="K36" s="58">
        <v>-5424.5</v>
      </c>
      <c r="L36" s="58" t="s">
        <v>84</v>
      </c>
      <c r="M36" s="59" t="s">
        <v>73</v>
      </c>
      <c r="N36" s="59"/>
      <c r="O36" s="60" t="s">
        <v>74</v>
      </c>
      <c r="P36" s="60" t="s">
        <v>75</v>
      </c>
    </row>
    <row r="37" spans="1:16" ht="12.75" customHeight="1" thickBot="1" x14ac:dyDescent="0.25">
      <c r="A37" s="49" t="str">
        <f t="shared" si="0"/>
        <v> VSS 1.81 </v>
      </c>
      <c r="B37" s="4" t="str">
        <f t="shared" si="1"/>
        <v>II</v>
      </c>
      <c r="C37" s="49">
        <f t="shared" si="2"/>
        <v>29103.48</v>
      </c>
      <c r="D37" s="10" t="str">
        <f t="shared" si="3"/>
        <v>vis</v>
      </c>
      <c r="E37" s="57">
        <f>VLOOKUP(C37,Active!C$21:E$973,3,FALSE)</f>
        <v>-5316.0234621617492</v>
      </c>
      <c r="F37" s="4" t="s">
        <v>67</v>
      </c>
      <c r="G37" s="10" t="str">
        <f t="shared" si="4"/>
        <v>29103.48</v>
      </c>
      <c r="H37" s="49">
        <f t="shared" si="5"/>
        <v>-5321.5</v>
      </c>
      <c r="I37" s="58" t="s">
        <v>85</v>
      </c>
      <c r="J37" s="59" t="s">
        <v>86</v>
      </c>
      <c r="K37" s="58">
        <v>-5321.5</v>
      </c>
      <c r="L37" s="58" t="s">
        <v>87</v>
      </c>
      <c r="M37" s="59" t="s">
        <v>73</v>
      </c>
      <c r="N37" s="59"/>
      <c r="O37" s="60" t="s">
        <v>74</v>
      </c>
      <c r="P37" s="60" t="s">
        <v>75</v>
      </c>
    </row>
    <row r="38" spans="1:16" ht="12.75" customHeight="1" thickBot="1" x14ac:dyDescent="0.25">
      <c r="A38" s="49" t="str">
        <f t="shared" si="0"/>
        <v> VSS 1.81 </v>
      </c>
      <c r="B38" s="4" t="str">
        <f t="shared" si="1"/>
        <v>II</v>
      </c>
      <c r="C38" s="49">
        <f t="shared" si="2"/>
        <v>29163.59</v>
      </c>
      <c r="D38" s="10" t="str">
        <f t="shared" si="3"/>
        <v>vis</v>
      </c>
      <c r="E38" s="57">
        <f>VLOOKUP(C38,Active!C$21:E$973,3,FALSE)</f>
        <v>-5290.0125705606579</v>
      </c>
      <c r="F38" s="4" t="s">
        <v>67</v>
      </c>
      <c r="G38" s="10" t="str">
        <f t="shared" si="4"/>
        <v>29163.59</v>
      </c>
      <c r="H38" s="49">
        <f t="shared" si="5"/>
        <v>-5295.5</v>
      </c>
      <c r="I38" s="58" t="s">
        <v>88</v>
      </c>
      <c r="J38" s="59" t="s">
        <v>89</v>
      </c>
      <c r="K38" s="58">
        <v>-5295.5</v>
      </c>
      <c r="L38" s="58" t="s">
        <v>90</v>
      </c>
      <c r="M38" s="59" t="s">
        <v>73</v>
      </c>
      <c r="N38" s="59"/>
      <c r="O38" s="60" t="s">
        <v>74</v>
      </c>
      <c r="P38" s="60" t="s">
        <v>75</v>
      </c>
    </row>
    <row r="39" spans="1:16" ht="12.75" customHeight="1" thickBot="1" x14ac:dyDescent="0.25">
      <c r="A39" s="49" t="str">
        <f t="shared" si="0"/>
        <v> VSS 1.81 </v>
      </c>
      <c r="B39" s="4" t="str">
        <f t="shared" si="1"/>
        <v>II</v>
      </c>
      <c r="C39" s="49">
        <f t="shared" si="2"/>
        <v>29646.65</v>
      </c>
      <c r="D39" s="10" t="str">
        <f t="shared" si="3"/>
        <v>vis</v>
      </c>
      <c r="E39" s="57">
        <f>VLOOKUP(C39,Active!C$21:E$973,3,FALSE)</f>
        <v>-5080.9821048008307</v>
      </c>
      <c r="F39" s="4" t="s">
        <v>67</v>
      </c>
      <c r="G39" s="10" t="str">
        <f t="shared" si="4"/>
        <v>29646.65</v>
      </c>
      <c r="H39" s="49">
        <f t="shared" si="5"/>
        <v>-5086.5</v>
      </c>
      <c r="I39" s="58" t="s">
        <v>91</v>
      </c>
      <c r="J39" s="59" t="s">
        <v>92</v>
      </c>
      <c r="K39" s="58">
        <v>-5086.5</v>
      </c>
      <c r="L39" s="58" t="s">
        <v>93</v>
      </c>
      <c r="M39" s="59" t="s">
        <v>73</v>
      </c>
      <c r="N39" s="59"/>
      <c r="O39" s="60" t="s">
        <v>74</v>
      </c>
      <c r="P39" s="60" t="s">
        <v>75</v>
      </c>
    </row>
    <row r="40" spans="1:16" ht="12.75" customHeight="1" thickBot="1" x14ac:dyDescent="0.25">
      <c r="A40" s="49" t="str">
        <f t="shared" si="0"/>
        <v> VSS 1.81 </v>
      </c>
      <c r="B40" s="4" t="str">
        <f t="shared" si="1"/>
        <v>II</v>
      </c>
      <c r="C40" s="49">
        <f t="shared" si="2"/>
        <v>29697.48</v>
      </c>
      <c r="D40" s="10" t="str">
        <f t="shared" si="3"/>
        <v>vis</v>
      </c>
      <c r="E40" s="57">
        <f>VLOOKUP(C40,Active!C$21:E$973,3,FALSE)</f>
        <v>-5058.9868690649555</v>
      </c>
      <c r="F40" s="4" t="s">
        <v>67</v>
      </c>
      <c r="G40" s="10" t="str">
        <f t="shared" si="4"/>
        <v>29697.48</v>
      </c>
      <c r="H40" s="49">
        <f t="shared" si="5"/>
        <v>-5064.5</v>
      </c>
      <c r="I40" s="58" t="s">
        <v>94</v>
      </c>
      <c r="J40" s="59" t="s">
        <v>95</v>
      </c>
      <c r="K40" s="58">
        <v>-5064.5</v>
      </c>
      <c r="L40" s="58" t="s">
        <v>96</v>
      </c>
      <c r="M40" s="59" t="s">
        <v>73</v>
      </c>
      <c r="N40" s="59"/>
      <c r="O40" s="60" t="s">
        <v>74</v>
      </c>
      <c r="P40" s="60" t="s">
        <v>75</v>
      </c>
    </row>
    <row r="41" spans="1:16" ht="12.75" customHeight="1" thickBot="1" x14ac:dyDescent="0.25">
      <c r="A41" s="49" t="str">
        <f t="shared" si="0"/>
        <v> VSS 1.81 </v>
      </c>
      <c r="B41" s="4" t="str">
        <f t="shared" si="1"/>
        <v>I</v>
      </c>
      <c r="C41" s="49">
        <f t="shared" si="2"/>
        <v>29957.47</v>
      </c>
      <c r="D41" s="10" t="str">
        <f t="shared" si="3"/>
        <v>vis</v>
      </c>
      <c r="E41" s="57">
        <f>VLOOKUP(C41,Active!C$21:E$973,3,FALSE)</f>
        <v>-4946.4835966083301</v>
      </c>
      <c r="F41" s="4" t="s">
        <v>67</v>
      </c>
      <c r="G41" s="10" t="str">
        <f t="shared" si="4"/>
        <v>29957.47</v>
      </c>
      <c r="H41" s="49">
        <f t="shared" si="5"/>
        <v>-4952</v>
      </c>
      <c r="I41" s="58" t="s">
        <v>97</v>
      </c>
      <c r="J41" s="59" t="s">
        <v>98</v>
      </c>
      <c r="K41" s="58">
        <v>-4952</v>
      </c>
      <c r="L41" s="58" t="s">
        <v>93</v>
      </c>
      <c r="M41" s="59" t="s">
        <v>73</v>
      </c>
      <c r="N41" s="59"/>
      <c r="O41" s="60" t="s">
        <v>74</v>
      </c>
      <c r="P41" s="60" t="s">
        <v>75</v>
      </c>
    </row>
    <row r="42" spans="1:16" ht="12.75" customHeight="1" thickBot="1" x14ac:dyDescent="0.25">
      <c r="A42" s="49" t="str">
        <f t="shared" si="0"/>
        <v> VSS 1.81 </v>
      </c>
      <c r="B42" s="4" t="str">
        <f t="shared" si="1"/>
        <v>II</v>
      </c>
      <c r="C42" s="49">
        <f t="shared" si="2"/>
        <v>30023.4</v>
      </c>
      <c r="D42" s="10" t="str">
        <f t="shared" si="3"/>
        <v>vis</v>
      </c>
      <c r="E42" s="57">
        <f>VLOOKUP(C42,Active!C$21:E$973,3,FALSE)</f>
        <v>-4917.9542656607346</v>
      </c>
      <c r="F42" s="4" t="s">
        <v>67</v>
      </c>
      <c r="G42" s="10" t="str">
        <f t="shared" si="4"/>
        <v>30023.40</v>
      </c>
      <c r="H42" s="49">
        <f t="shared" si="5"/>
        <v>-4923.5</v>
      </c>
      <c r="I42" s="58" t="s">
        <v>99</v>
      </c>
      <c r="J42" s="59" t="s">
        <v>100</v>
      </c>
      <c r="K42" s="58">
        <v>-4923.5</v>
      </c>
      <c r="L42" s="58" t="s">
        <v>101</v>
      </c>
      <c r="M42" s="59" t="s">
        <v>73</v>
      </c>
      <c r="N42" s="59"/>
      <c r="O42" s="60" t="s">
        <v>74</v>
      </c>
      <c r="P42" s="60" t="s">
        <v>75</v>
      </c>
    </row>
    <row r="43" spans="1:16" ht="12.75" customHeight="1" thickBot="1" x14ac:dyDescent="0.25">
      <c r="A43" s="49" t="str">
        <f t="shared" ref="A43:A59" si="6">P43</f>
        <v> VSS 1.81 </v>
      </c>
      <c r="B43" s="4" t="str">
        <f t="shared" ref="B43:B59" si="7">IF(H43=INT(H43),"I","II")</f>
        <v>II</v>
      </c>
      <c r="C43" s="49">
        <f t="shared" ref="C43:C59" si="8">1*G43</f>
        <v>30321.38</v>
      </c>
      <c r="D43" s="10" t="str">
        <f t="shared" ref="D43:D59" si="9">VLOOKUP(F43,I$1:J$5,2,FALSE)</f>
        <v>vis</v>
      </c>
      <c r="E43" s="57">
        <f>VLOOKUP(C43,Active!C$21:E$973,3,FALSE)</f>
        <v>-4789.0119020058819</v>
      </c>
      <c r="F43" s="4" t="s">
        <v>67</v>
      </c>
      <c r="G43" s="10" t="str">
        <f t="shared" ref="G43:G59" si="10">MID(I43,3,LEN(I43)-3)</f>
        <v>30321.38</v>
      </c>
      <c r="H43" s="49">
        <f t="shared" ref="H43:H59" si="11">1*K43</f>
        <v>-4794.5</v>
      </c>
      <c r="I43" s="58" t="s">
        <v>102</v>
      </c>
      <c r="J43" s="59" t="s">
        <v>103</v>
      </c>
      <c r="K43" s="58">
        <v>-4794.5</v>
      </c>
      <c r="L43" s="58" t="s">
        <v>90</v>
      </c>
      <c r="M43" s="59" t="s">
        <v>73</v>
      </c>
      <c r="N43" s="59"/>
      <c r="O43" s="60" t="s">
        <v>74</v>
      </c>
      <c r="P43" s="60" t="s">
        <v>75</v>
      </c>
    </row>
    <row r="44" spans="1:16" ht="12.75" customHeight="1" thickBot="1" x14ac:dyDescent="0.25">
      <c r="A44" s="49" t="str">
        <f t="shared" si="6"/>
        <v> VSS 1.81 </v>
      </c>
      <c r="B44" s="4" t="str">
        <f t="shared" si="7"/>
        <v>II</v>
      </c>
      <c r="C44" s="49">
        <f t="shared" si="8"/>
        <v>30372.26</v>
      </c>
      <c r="D44" s="10" t="str">
        <f t="shared" si="9"/>
        <v>vis</v>
      </c>
      <c r="E44" s="57">
        <f>VLOOKUP(C44,Active!C$21:E$973,3,FALSE)</f>
        <v>-4766.9950301931476</v>
      </c>
      <c r="F44" s="4" t="s">
        <v>67</v>
      </c>
      <c r="G44" s="10" t="str">
        <f t="shared" si="10"/>
        <v>30372.26</v>
      </c>
      <c r="H44" s="49">
        <f t="shared" si="11"/>
        <v>-4772.5</v>
      </c>
      <c r="I44" s="58" t="s">
        <v>104</v>
      </c>
      <c r="J44" s="59" t="s">
        <v>105</v>
      </c>
      <c r="K44" s="58">
        <v>-4772.5</v>
      </c>
      <c r="L44" s="58" t="s">
        <v>106</v>
      </c>
      <c r="M44" s="59" t="s">
        <v>73</v>
      </c>
      <c r="N44" s="59"/>
      <c r="O44" s="60" t="s">
        <v>74</v>
      </c>
      <c r="P44" s="60" t="s">
        <v>75</v>
      </c>
    </row>
    <row r="45" spans="1:16" ht="12.75" customHeight="1" thickBot="1" x14ac:dyDescent="0.25">
      <c r="A45" s="49" t="str">
        <f t="shared" si="6"/>
        <v> VSS 1.81 </v>
      </c>
      <c r="B45" s="4" t="str">
        <f t="shared" si="7"/>
        <v>II</v>
      </c>
      <c r="C45" s="49">
        <f t="shared" si="8"/>
        <v>30582.53</v>
      </c>
      <c r="D45" s="10" t="str">
        <f t="shared" si="9"/>
        <v>vis</v>
      </c>
      <c r="E45" s="57">
        <f>VLOOKUP(C45,Active!C$21:E$973,3,FALSE)</f>
        <v>-4676.0066725661063</v>
      </c>
      <c r="F45" s="4" t="s">
        <v>67</v>
      </c>
      <c r="G45" s="10" t="str">
        <f t="shared" si="10"/>
        <v>30582.53</v>
      </c>
      <c r="H45" s="49">
        <f t="shared" si="11"/>
        <v>-4681.5</v>
      </c>
      <c r="I45" s="58" t="s">
        <v>107</v>
      </c>
      <c r="J45" s="59" t="s">
        <v>108</v>
      </c>
      <c r="K45" s="58">
        <v>-4681.5</v>
      </c>
      <c r="L45" s="58" t="s">
        <v>109</v>
      </c>
      <c r="M45" s="59" t="s">
        <v>73</v>
      </c>
      <c r="N45" s="59"/>
      <c r="O45" s="60" t="s">
        <v>74</v>
      </c>
      <c r="P45" s="60" t="s">
        <v>75</v>
      </c>
    </row>
    <row r="46" spans="1:16" ht="12.75" customHeight="1" thickBot="1" x14ac:dyDescent="0.25">
      <c r="A46" s="49" t="str">
        <f t="shared" si="6"/>
        <v> VSS 1.81 </v>
      </c>
      <c r="B46" s="4" t="str">
        <f t="shared" si="7"/>
        <v>I</v>
      </c>
      <c r="C46" s="49">
        <f t="shared" si="8"/>
        <v>30590.55</v>
      </c>
      <c r="D46" s="10" t="str">
        <f t="shared" si="9"/>
        <v>vis</v>
      </c>
      <c r="E46" s="57">
        <f>VLOOKUP(C46,Active!C$21:E$973,3,FALSE)</f>
        <v>-4672.5362458377622</v>
      </c>
      <c r="F46" s="4" t="s">
        <v>67</v>
      </c>
      <c r="G46" s="10" t="str">
        <f t="shared" si="10"/>
        <v>30590.55</v>
      </c>
      <c r="H46" s="49">
        <f t="shared" si="11"/>
        <v>-4678</v>
      </c>
      <c r="I46" s="58" t="s">
        <v>110</v>
      </c>
      <c r="J46" s="59" t="s">
        <v>111</v>
      </c>
      <c r="K46" s="58">
        <v>-4678</v>
      </c>
      <c r="L46" s="58" t="s">
        <v>112</v>
      </c>
      <c r="M46" s="59" t="s">
        <v>73</v>
      </c>
      <c r="N46" s="59"/>
      <c r="O46" s="60" t="s">
        <v>74</v>
      </c>
      <c r="P46" s="60" t="s">
        <v>75</v>
      </c>
    </row>
    <row r="47" spans="1:16" ht="12.75" customHeight="1" thickBot="1" x14ac:dyDescent="0.25">
      <c r="A47" s="49" t="str">
        <f t="shared" si="6"/>
        <v> HABZ 88 </v>
      </c>
      <c r="B47" s="4" t="str">
        <f t="shared" si="7"/>
        <v>I</v>
      </c>
      <c r="C47" s="49">
        <f t="shared" si="8"/>
        <v>39024.483999999997</v>
      </c>
      <c r="D47" s="10" t="str">
        <f t="shared" si="9"/>
        <v>vis</v>
      </c>
      <c r="E47" s="57">
        <f>VLOOKUP(C47,Active!C$21:E$973,3,FALSE)</f>
        <v>-1022.9913607145128</v>
      </c>
      <c r="F47" s="4" t="s">
        <v>67</v>
      </c>
      <c r="G47" s="10" t="str">
        <f t="shared" si="10"/>
        <v>39024.484</v>
      </c>
      <c r="H47" s="49">
        <f t="shared" si="11"/>
        <v>-1023</v>
      </c>
      <c r="I47" s="58" t="s">
        <v>113</v>
      </c>
      <c r="J47" s="59" t="s">
        <v>114</v>
      </c>
      <c r="K47" s="58">
        <v>-1023</v>
      </c>
      <c r="L47" s="58" t="s">
        <v>115</v>
      </c>
      <c r="M47" s="59" t="s">
        <v>73</v>
      </c>
      <c r="N47" s="59"/>
      <c r="O47" s="60" t="s">
        <v>116</v>
      </c>
      <c r="P47" s="60" t="s">
        <v>117</v>
      </c>
    </row>
    <row r="48" spans="1:16" ht="12.75" customHeight="1" thickBot="1" x14ac:dyDescent="0.25">
      <c r="A48" s="49" t="str">
        <f t="shared" si="6"/>
        <v> HABZ 88 </v>
      </c>
      <c r="B48" s="4" t="str">
        <f t="shared" si="7"/>
        <v>II</v>
      </c>
      <c r="C48" s="49">
        <f t="shared" si="8"/>
        <v>39053.394</v>
      </c>
      <c r="D48" s="10" t="str">
        <f t="shared" si="9"/>
        <v>vis</v>
      </c>
      <c r="E48" s="57">
        <f>VLOOKUP(C48,Active!C$21:E$973,3,FALSE)</f>
        <v>-1010.4813810740596</v>
      </c>
      <c r="F48" s="4" t="s">
        <v>67</v>
      </c>
      <c r="G48" s="10" t="str">
        <f t="shared" si="10"/>
        <v>39053.394</v>
      </c>
      <c r="H48" s="49">
        <f t="shared" si="11"/>
        <v>-1010.5</v>
      </c>
      <c r="I48" s="58" t="s">
        <v>118</v>
      </c>
      <c r="J48" s="59" t="s">
        <v>119</v>
      </c>
      <c r="K48" s="58">
        <v>-1010.5</v>
      </c>
      <c r="L48" s="58" t="s">
        <v>120</v>
      </c>
      <c r="M48" s="59" t="s">
        <v>73</v>
      </c>
      <c r="N48" s="59"/>
      <c r="O48" s="60" t="s">
        <v>116</v>
      </c>
      <c r="P48" s="60" t="s">
        <v>117</v>
      </c>
    </row>
    <row r="49" spans="1:16" ht="12.75" customHeight="1" thickBot="1" x14ac:dyDescent="0.25">
      <c r="A49" s="49" t="str">
        <f t="shared" si="6"/>
        <v> HABZ 88 </v>
      </c>
      <c r="B49" s="4" t="str">
        <f t="shared" si="7"/>
        <v>I</v>
      </c>
      <c r="C49" s="49">
        <f t="shared" si="8"/>
        <v>39061.402999999998</v>
      </c>
      <c r="D49" s="10" t="str">
        <f t="shared" si="9"/>
        <v>vis</v>
      </c>
      <c r="E49" s="57">
        <f>VLOOKUP(C49,Active!C$21:E$973,3,FALSE)</f>
        <v>-1007.0157142826257</v>
      </c>
      <c r="F49" s="4" t="s">
        <v>67</v>
      </c>
      <c r="G49" s="10" t="str">
        <f t="shared" si="10"/>
        <v>39061.403</v>
      </c>
      <c r="H49" s="49">
        <f t="shared" si="11"/>
        <v>-1007</v>
      </c>
      <c r="I49" s="58" t="s">
        <v>121</v>
      </c>
      <c r="J49" s="59" t="s">
        <v>122</v>
      </c>
      <c r="K49" s="58">
        <v>-1007</v>
      </c>
      <c r="L49" s="58" t="s">
        <v>123</v>
      </c>
      <c r="M49" s="59" t="s">
        <v>73</v>
      </c>
      <c r="N49" s="59"/>
      <c r="O49" s="60" t="s">
        <v>116</v>
      </c>
      <c r="P49" s="60" t="s">
        <v>117</v>
      </c>
    </row>
    <row r="50" spans="1:16" ht="12.75" customHeight="1" thickBot="1" x14ac:dyDescent="0.25">
      <c r="A50" s="49" t="str">
        <f t="shared" si="6"/>
        <v> HABZ 88 </v>
      </c>
      <c r="B50" s="4" t="str">
        <f t="shared" si="7"/>
        <v>II</v>
      </c>
      <c r="C50" s="49">
        <f t="shared" si="8"/>
        <v>41602.364999999998</v>
      </c>
      <c r="D50" s="10" t="str">
        <f t="shared" si="9"/>
        <v>vis</v>
      </c>
      <c r="E50" s="57">
        <f>VLOOKUP(C50,Active!C$21:E$973,3,FALSE)</f>
        <v>92.513268324131985</v>
      </c>
      <c r="F50" s="4" t="s">
        <v>67</v>
      </c>
      <c r="G50" s="10" t="str">
        <f t="shared" si="10"/>
        <v>41602.365</v>
      </c>
      <c r="H50" s="49">
        <f t="shared" si="11"/>
        <v>92.5</v>
      </c>
      <c r="I50" s="58" t="s">
        <v>131</v>
      </c>
      <c r="J50" s="59" t="s">
        <v>132</v>
      </c>
      <c r="K50" s="58">
        <v>92.5</v>
      </c>
      <c r="L50" s="58" t="s">
        <v>133</v>
      </c>
      <c r="M50" s="59" t="s">
        <v>73</v>
      </c>
      <c r="N50" s="59"/>
      <c r="O50" s="60" t="s">
        <v>116</v>
      </c>
      <c r="P50" s="60" t="s">
        <v>117</v>
      </c>
    </row>
    <row r="51" spans="1:16" ht="12.75" customHeight="1" thickBot="1" x14ac:dyDescent="0.25">
      <c r="A51" s="49" t="str">
        <f t="shared" si="6"/>
        <v>IBVS 1817 </v>
      </c>
      <c r="B51" s="4" t="str">
        <f t="shared" si="7"/>
        <v>I</v>
      </c>
      <c r="C51" s="49">
        <f t="shared" si="8"/>
        <v>44191.764999999999</v>
      </c>
      <c r="D51" s="10" t="str">
        <f t="shared" si="9"/>
        <v>vis</v>
      </c>
      <c r="E51" s="57">
        <f>VLOOKUP(C51,Active!C$21:E$973,3,FALSE)</f>
        <v>1213.0024167497836</v>
      </c>
      <c r="F51" s="4" t="s">
        <v>67</v>
      </c>
      <c r="G51" s="10" t="str">
        <f t="shared" si="10"/>
        <v>44191.765</v>
      </c>
      <c r="H51" s="49">
        <f t="shared" si="11"/>
        <v>1213</v>
      </c>
      <c r="I51" s="58" t="s">
        <v>134</v>
      </c>
      <c r="J51" s="59" t="s">
        <v>135</v>
      </c>
      <c r="K51" s="58">
        <v>1213</v>
      </c>
      <c r="L51" s="58" t="s">
        <v>136</v>
      </c>
      <c r="M51" s="59" t="s">
        <v>127</v>
      </c>
      <c r="N51" s="59" t="s">
        <v>128</v>
      </c>
      <c r="O51" s="60" t="s">
        <v>137</v>
      </c>
      <c r="P51" s="61" t="s">
        <v>138</v>
      </c>
    </row>
    <row r="52" spans="1:16" ht="12.75" customHeight="1" thickBot="1" x14ac:dyDescent="0.25">
      <c r="A52" s="49" t="str">
        <f t="shared" si="6"/>
        <v>BAVM 34 </v>
      </c>
      <c r="B52" s="4" t="str">
        <f t="shared" si="7"/>
        <v>I</v>
      </c>
      <c r="C52" s="49">
        <f t="shared" si="8"/>
        <v>45044.477200000001</v>
      </c>
      <c r="D52" s="10" t="str">
        <f t="shared" si="9"/>
        <v>vis</v>
      </c>
      <c r="E52" s="57">
        <f>VLOOKUP(C52,Active!C$21:E$973,3,FALSE)</f>
        <v>1581.9893507229685</v>
      </c>
      <c r="F52" s="4" t="s">
        <v>67</v>
      </c>
      <c r="G52" s="10" t="str">
        <f t="shared" si="10"/>
        <v>45044.4772</v>
      </c>
      <c r="H52" s="49">
        <f t="shared" si="11"/>
        <v>1582</v>
      </c>
      <c r="I52" s="58" t="s">
        <v>139</v>
      </c>
      <c r="J52" s="59" t="s">
        <v>140</v>
      </c>
      <c r="K52" s="58">
        <v>1582</v>
      </c>
      <c r="L52" s="58" t="s">
        <v>141</v>
      </c>
      <c r="M52" s="59" t="s">
        <v>127</v>
      </c>
      <c r="N52" s="59" t="s">
        <v>142</v>
      </c>
      <c r="O52" s="60" t="s">
        <v>143</v>
      </c>
      <c r="P52" s="61" t="s">
        <v>144</v>
      </c>
    </row>
    <row r="53" spans="1:16" ht="12.75" customHeight="1" thickBot="1" x14ac:dyDescent="0.25">
      <c r="A53" s="49" t="str">
        <f t="shared" si="6"/>
        <v>BAVM 52 </v>
      </c>
      <c r="B53" s="4" t="str">
        <f t="shared" si="7"/>
        <v>II</v>
      </c>
      <c r="C53" s="49">
        <f t="shared" si="8"/>
        <v>45653.461000000003</v>
      </c>
      <c r="D53" s="10" t="str">
        <f t="shared" si="9"/>
        <v>vis</v>
      </c>
      <c r="E53" s="57">
        <f>VLOOKUP(C53,Active!C$21:E$973,3,FALSE)</f>
        <v>1845.5097567888599</v>
      </c>
      <c r="F53" s="4" t="s">
        <v>67</v>
      </c>
      <c r="G53" s="10" t="str">
        <f t="shared" si="10"/>
        <v>45653.461</v>
      </c>
      <c r="H53" s="49">
        <f t="shared" si="11"/>
        <v>1845.5</v>
      </c>
      <c r="I53" s="58" t="s">
        <v>145</v>
      </c>
      <c r="J53" s="59" t="s">
        <v>146</v>
      </c>
      <c r="K53" s="58">
        <v>1845.5</v>
      </c>
      <c r="L53" s="58" t="s">
        <v>147</v>
      </c>
      <c r="M53" s="59" t="s">
        <v>69</v>
      </c>
      <c r="N53" s="59"/>
      <c r="O53" s="60" t="s">
        <v>148</v>
      </c>
      <c r="P53" s="61" t="s">
        <v>149</v>
      </c>
    </row>
    <row r="54" spans="1:16" ht="12.75" customHeight="1" thickBot="1" x14ac:dyDescent="0.25">
      <c r="A54" s="49" t="str">
        <f t="shared" si="6"/>
        <v>BAVM 56 </v>
      </c>
      <c r="B54" s="4" t="str">
        <f t="shared" si="7"/>
        <v>I</v>
      </c>
      <c r="C54" s="49">
        <f t="shared" si="8"/>
        <v>47928.5576</v>
      </c>
      <c r="D54" s="10" t="str">
        <f t="shared" si="9"/>
        <v>vis</v>
      </c>
      <c r="E54" s="57">
        <f>VLOOKUP(C54,Active!C$21:E$973,3,FALSE)</f>
        <v>2829.9930548193265</v>
      </c>
      <c r="F54" s="4" t="s">
        <v>67</v>
      </c>
      <c r="G54" s="10" t="str">
        <f t="shared" si="10"/>
        <v>47928.5576</v>
      </c>
      <c r="H54" s="49">
        <f t="shared" si="11"/>
        <v>2830</v>
      </c>
      <c r="I54" s="58" t="s">
        <v>150</v>
      </c>
      <c r="J54" s="59" t="s">
        <v>151</v>
      </c>
      <c r="K54" s="58">
        <v>2830</v>
      </c>
      <c r="L54" s="58" t="s">
        <v>152</v>
      </c>
      <c r="M54" s="59" t="s">
        <v>127</v>
      </c>
      <c r="N54" s="59" t="s">
        <v>153</v>
      </c>
      <c r="O54" s="60" t="s">
        <v>154</v>
      </c>
      <c r="P54" s="61" t="s">
        <v>155</v>
      </c>
    </row>
    <row r="55" spans="1:16" ht="12.75" customHeight="1" thickBot="1" x14ac:dyDescent="0.25">
      <c r="A55" s="49" t="str">
        <f t="shared" si="6"/>
        <v>BAVM 60 </v>
      </c>
      <c r="B55" s="4" t="str">
        <f t="shared" si="7"/>
        <v>I</v>
      </c>
      <c r="C55" s="49">
        <f t="shared" si="8"/>
        <v>48619.5314</v>
      </c>
      <c r="D55" s="10" t="str">
        <f t="shared" si="9"/>
        <v>vis</v>
      </c>
      <c r="E55" s="57">
        <f>VLOOKUP(C55,Active!C$21:E$973,3,FALSE)</f>
        <v>3128.9922997202443</v>
      </c>
      <c r="F55" s="4" t="s">
        <v>67</v>
      </c>
      <c r="G55" s="10" t="str">
        <f t="shared" si="10"/>
        <v>48619.5314</v>
      </c>
      <c r="H55" s="49">
        <f t="shared" si="11"/>
        <v>3129</v>
      </c>
      <c r="I55" s="58" t="s">
        <v>156</v>
      </c>
      <c r="J55" s="59" t="s">
        <v>157</v>
      </c>
      <c r="K55" s="58">
        <v>3129</v>
      </c>
      <c r="L55" s="58" t="s">
        <v>158</v>
      </c>
      <c r="M55" s="59" t="s">
        <v>127</v>
      </c>
      <c r="N55" s="59" t="s">
        <v>159</v>
      </c>
      <c r="O55" s="60" t="s">
        <v>154</v>
      </c>
      <c r="P55" s="61" t="s">
        <v>160</v>
      </c>
    </row>
    <row r="56" spans="1:16" ht="12.75" customHeight="1" thickBot="1" x14ac:dyDescent="0.25">
      <c r="A56" s="49" t="str">
        <f t="shared" si="6"/>
        <v>BAVM 60 </v>
      </c>
      <c r="B56" s="4" t="str">
        <f t="shared" si="7"/>
        <v>I</v>
      </c>
      <c r="C56" s="49">
        <f t="shared" si="8"/>
        <v>48619.5317</v>
      </c>
      <c r="D56" s="10" t="str">
        <f t="shared" si="9"/>
        <v>vis</v>
      </c>
      <c r="E56" s="57">
        <f>VLOOKUP(C56,Active!C$21:E$973,3,FALSE)</f>
        <v>3128.992429536705</v>
      </c>
      <c r="F56" s="4" t="s">
        <v>67</v>
      </c>
      <c r="G56" s="10" t="str">
        <f t="shared" si="10"/>
        <v>48619.5317</v>
      </c>
      <c r="H56" s="49">
        <f t="shared" si="11"/>
        <v>3129</v>
      </c>
      <c r="I56" s="58" t="s">
        <v>161</v>
      </c>
      <c r="J56" s="59" t="s">
        <v>157</v>
      </c>
      <c r="K56" s="58">
        <v>3129</v>
      </c>
      <c r="L56" s="58" t="s">
        <v>162</v>
      </c>
      <c r="M56" s="59" t="s">
        <v>127</v>
      </c>
      <c r="N56" s="59" t="s">
        <v>153</v>
      </c>
      <c r="O56" s="60" t="s">
        <v>154</v>
      </c>
      <c r="P56" s="61" t="s">
        <v>160</v>
      </c>
    </row>
    <row r="57" spans="1:16" ht="12.75" customHeight="1" thickBot="1" x14ac:dyDescent="0.25">
      <c r="A57" s="49" t="str">
        <f t="shared" si="6"/>
        <v>BAVM 225 </v>
      </c>
      <c r="B57" s="4" t="str">
        <f t="shared" si="7"/>
        <v>II</v>
      </c>
      <c r="C57" s="49">
        <f t="shared" si="8"/>
        <v>55879.387300000002</v>
      </c>
      <c r="D57" s="10" t="str">
        <f t="shared" si="9"/>
        <v>vis</v>
      </c>
      <c r="E57" s="57">
        <f>VLOOKUP(C57,Active!C$21:E$973,3,FALSE)</f>
        <v>6270.4883046186533</v>
      </c>
      <c r="F57" s="4" t="s">
        <v>67</v>
      </c>
      <c r="G57" s="10" t="str">
        <f t="shared" si="10"/>
        <v>55879.3873</v>
      </c>
      <c r="H57" s="49">
        <f t="shared" si="11"/>
        <v>6270.5</v>
      </c>
      <c r="I57" s="58" t="s">
        <v>234</v>
      </c>
      <c r="J57" s="59" t="s">
        <v>235</v>
      </c>
      <c r="K57" s="58">
        <v>6270.5</v>
      </c>
      <c r="L57" s="58" t="s">
        <v>196</v>
      </c>
      <c r="M57" s="59" t="s">
        <v>173</v>
      </c>
      <c r="N57" s="59" t="s">
        <v>236</v>
      </c>
      <c r="O57" s="60" t="s">
        <v>154</v>
      </c>
      <c r="P57" s="61" t="s">
        <v>237</v>
      </c>
    </row>
    <row r="58" spans="1:16" ht="12.75" customHeight="1" thickBot="1" x14ac:dyDescent="0.25">
      <c r="A58" s="49" t="str">
        <f t="shared" si="6"/>
        <v>BAVM 225 </v>
      </c>
      <c r="B58" s="4" t="str">
        <f t="shared" si="7"/>
        <v>I</v>
      </c>
      <c r="C58" s="49">
        <f t="shared" si="8"/>
        <v>55880.543299999998</v>
      </c>
      <c r="D58" s="10" t="str">
        <f t="shared" si="9"/>
        <v>vis</v>
      </c>
      <c r="E58" s="57">
        <f>VLOOKUP(C58,Active!C$21:E$973,3,FALSE)</f>
        <v>6270.9885307156546</v>
      </c>
      <c r="F58" s="4" t="s">
        <v>67</v>
      </c>
      <c r="G58" s="10" t="str">
        <f t="shared" si="10"/>
        <v>55880.5433</v>
      </c>
      <c r="H58" s="49">
        <f t="shared" si="11"/>
        <v>6271</v>
      </c>
      <c r="I58" s="58" t="s">
        <v>238</v>
      </c>
      <c r="J58" s="59" t="s">
        <v>239</v>
      </c>
      <c r="K58" s="58" t="s">
        <v>240</v>
      </c>
      <c r="L58" s="58" t="s">
        <v>202</v>
      </c>
      <c r="M58" s="59" t="s">
        <v>173</v>
      </c>
      <c r="N58" s="59" t="s">
        <v>241</v>
      </c>
      <c r="O58" s="60" t="s">
        <v>242</v>
      </c>
      <c r="P58" s="61" t="s">
        <v>237</v>
      </c>
    </row>
    <row r="59" spans="1:16" ht="12.75" customHeight="1" thickBot="1" x14ac:dyDescent="0.25">
      <c r="A59" s="49" t="str">
        <f t="shared" si="6"/>
        <v>BAVM 225 </v>
      </c>
      <c r="B59" s="4" t="str">
        <f t="shared" si="7"/>
        <v>II</v>
      </c>
      <c r="C59" s="49">
        <f t="shared" si="8"/>
        <v>55953.338799999998</v>
      </c>
      <c r="D59" s="10" t="str">
        <f t="shared" si="9"/>
        <v>vis</v>
      </c>
      <c r="E59" s="57">
        <f>VLOOKUP(C59,Active!C$21:E$973,3,FALSE)</f>
        <v>6302.4887113768964</v>
      </c>
      <c r="F59" s="4" t="s">
        <v>67</v>
      </c>
      <c r="G59" s="10" t="str">
        <f t="shared" si="10"/>
        <v>55953.3388</v>
      </c>
      <c r="H59" s="49">
        <f t="shared" si="11"/>
        <v>6302.5</v>
      </c>
      <c r="I59" s="58" t="s">
        <v>249</v>
      </c>
      <c r="J59" s="59" t="s">
        <v>250</v>
      </c>
      <c r="K59" s="58" t="s">
        <v>251</v>
      </c>
      <c r="L59" s="58" t="s">
        <v>252</v>
      </c>
      <c r="M59" s="59" t="s">
        <v>173</v>
      </c>
      <c r="N59" s="59" t="s">
        <v>67</v>
      </c>
      <c r="O59" s="60" t="s">
        <v>253</v>
      </c>
      <c r="P59" s="61" t="s">
        <v>237</v>
      </c>
    </row>
    <row r="60" spans="1:16" x14ac:dyDescent="0.2">
      <c r="B60" s="4"/>
      <c r="F60" s="4"/>
    </row>
    <row r="61" spans="1:16" x14ac:dyDescent="0.2">
      <c r="B61" s="4"/>
      <c r="F61" s="4"/>
    </row>
    <row r="62" spans="1:16" x14ac:dyDescent="0.2">
      <c r="B62" s="4"/>
      <c r="F62" s="4"/>
    </row>
    <row r="63" spans="1:16" x14ac:dyDescent="0.2">
      <c r="B63" s="4"/>
      <c r="F63" s="4"/>
    </row>
    <row r="64" spans="1:1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</sheetData>
  <phoneticPr fontId="8" type="noConversion"/>
  <hyperlinks>
    <hyperlink ref="A3" r:id="rId1" xr:uid="{00000000-0004-0000-0100-000000000000}"/>
    <hyperlink ref="P51" r:id="rId2" display="http://www.konkoly.hu/cgi-bin/IBVS?1817" xr:uid="{00000000-0004-0000-0100-000001000000}"/>
    <hyperlink ref="P52" r:id="rId3" display="http://www.bav-astro.de/sfs/BAVM_link.php?BAVMnr=34" xr:uid="{00000000-0004-0000-0100-000002000000}"/>
    <hyperlink ref="P53" r:id="rId4" display="http://www.bav-astro.de/sfs/BAVM_link.php?BAVMnr=52" xr:uid="{00000000-0004-0000-0100-000003000000}"/>
    <hyperlink ref="P54" r:id="rId5" display="http://www.bav-astro.de/sfs/BAVM_link.php?BAVMnr=56" xr:uid="{00000000-0004-0000-0100-000004000000}"/>
    <hyperlink ref="P55" r:id="rId6" display="http://www.bav-astro.de/sfs/BAVM_link.php?BAVMnr=60" xr:uid="{00000000-0004-0000-0100-000005000000}"/>
    <hyperlink ref="P56" r:id="rId7" display="http://www.bav-astro.de/sfs/BAVM_link.php?BAVMnr=60" xr:uid="{00000000-0004-0000-0100-000006000000}"/>
    <hyperlink ref="P12" r:id="rId8" display="http://www.bav-astro.de/sfs/BAVM_link.php?BAVMnr=80" xr:uid="{00000000-0004-0000-0100-000007000000}"/>
    <hyperlink ref="P13" r:id="rId9" display="http://www.bav-astro.de/sfs/BAVM_link.php?BAVMnr=80" xr:uid="{00000000-0004-0000-0100-000008000000}"/>
    <hyperlink ref="P16" r:id="rId10" display="http://www.konkoly.hu/cgi-bin/IBVS?5594" xr:uid="{00000000-0004-0000-0100-000009000000}"/>
    <hyperlink ref="P17" r:id="rId11" display="http://www.konkoly.hu/cgi-bin/IBVS?5694" xr:uid="{00000000-0004-0000-0100-00000A000000}"/>
    <hyperlink ref="P18" r:id="rId12" display="http://www.bav-astro.de/sfs/BAVM_link.php?BAVMnr=178" xr:uid="{00000000-0004-0000-0100-00000B000000}"/>
    <hyperlink ref="P19" r:id="rId13" display="http://www.konkoly.hu/cgi-bin/IBVS?5760" xr:uid="{00000000-0004-0000-0100-00000C000000}"/>
    <hyperlink ref="P20" r:id="rId14" display="http://www.bav-astro.de/sfs/BAVM_link.php?BAVMnr=183" xr:uid="{00000000-0004-0000-0100-00000D000000}"/>
    <hyperlink ref="P21" r:id="rId15" display="http://www.konkoly.hu/cgi-bin/IBVS?5753" xr:uid="{00000000-0004-0000-0100-00000E000000}"/>
    <hyperlink ref="P22" r:id="rId16" display="http://www.konkoly.hu/cgi-bin/IBVS?6114" xr:uid="{00000000-0004-0000-0100-00000F000000}"/>
    <hyperlink ref="P23" r:id="rId17" display="http://www.konkoly.hu/cgi-bin/IBVS?6114" xr:uid="{00000000-0004-0000-0100-000010000000}"/>
    <hyperlink ref="P24" r:id="rId18" display="http://www.konkoly.hu/cgi-bin/IBVS?5933" xr:uid="{00000000-0004-0000-0100-000011000000}"/>
    <hyperlink ref="P25" r:id="rId19" display="http://www.konkoly.hu/cgi-bin/IBVS?5929" xr:uid="{00000000-0004-0000-0100-000012000000}"/>
    <hyperlink ref="P26" r:id="rId20" display="http://www.konkoly.hu/cgi-bin/IBVS?6007" xr:uid="{00000000-0004-0000-0100-000013000000}"/>
    <hyperlink ref="P57" r:id="rId21" display="http://www.bav-astro.de/sfs/BAVM_link.php?BAVMnr=225" xr:uid="{00000000-0004-0000-0100-000014000000}"/>
    <hyperlink ref="P58" r:id="rId22" display="http://www.bav-astro.de/sfs/BAVM_link.php?BAVMnr=225" xr:uid="{00000000-0004-0000-0100-000015000000}"/>
    <hyperlink ref="P27" r:id="rId23" display="http://www.konkoly.hu/cgi-bin/IBVS?6011" xr:uid="{00000000-0004-0000-0100-000016000000}"/>
    <hyperlink ref="P59" r:id="rId24" display="http://www.bav-astro.de/sfs/BAVM_link.php?BAVMnr=225" xr:uid="{00000000-0004-0000-0100-000017000000}"/>
    <hyperlink ref="P28" r:id="rId25" display="http://www.bav-astro.de/sfs/BAVM_link.php?BAVMnr=234" xr:uid="{00000000-0004-0000-0100-000018000000}"/>
    <hyperlink ref="P29" r:id="rId26" display="http://www.bav-astro.de/sfs/BAVM_link.php?BAVMnr=234" xr:uid="{00000000-0004-0000-0100-000019000000}"/>
    <hyperlink ref="P30" r:id="rId27" display="http://www.bav-astro.de/sfs/BAVM_link.php?BAVMnr=234" xr:uid="{00000000-0004-0000-0100-00001A000000}"/>
    <hyperlink ref="P31" r:id="rId28" display="http://www.bav-astro.de/sfs/BAVM_link.php?BAVMnr=238" xr:uid="{00000000-0004-0000-0100-00001B000000}"/>
    <hyperlink ref="P32" r:id="rId29" display="http://www.bav-astro.de/sfs/BAVM_link.php?BAVMnr=239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2024-01-19T04:18:33Z</dcterms:modified>
</cp:coreProperties>
</file>