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4AE1C65-F8F2-4658-9F65-B65254BA93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/>
  <c r="G31" i="1" s="1"/>
  <c r="K31" i="1" s="1"/>
  <c r="Q31" i="1"/>
  <c r="D9" i="1"/>
  <c r="C9" i="1"/>
  <c r="Q22" i="1"/>
  <c r="Q25" i="1"/>
  <c r="Q28" i="1"/>
  <c r="G15" i="2"/>
  <c r="C15" i="2"/>
  <c r="G14" i="2"/>
  <c r="C14" i="2"/>
  <c r="G18" i="2"/>
  <c r="C18" i="2"/>
  <c r="G13" i="2"/>
  <c r="C13" i="2"/>
  <c r="G17" i="2"/>
  <c r="C17" i="2"/>
  <c r="G12" i="2"/>
  <c r="C12" i="2"/>
  <c r="G11" i="2"/>
  <c r="C11" i="2"/>
  <c r="G16" i="2"/>
  <c r="C16" i="2"/>
  <c r="H15" i="2"/>
  <c r="B15" i="2"/>
  <c r="D15" i="2"/>
  <c r="A15" i="2"/>
  <c r="H14" i="2"/>
  <c r="B14" i="2"/>
  <c r="D14" i="2"/>
  <c r="A14" i="2"/>
  <c r="H18" i="2"/>
  <c r="B18" i="2"/>
  <c r="D18" i="2"/>
  <c r="A18" i="2"/>
  <c r="H13" i="2"/>
  <c r="B13" i="2"/>
  <c r="D13" i="2"/>
  <c r="A13" i="2"/>
  <c r="H17" i="2"/>
  <c r="B17" i="2"/>
  <c r="D17" i="2"/>
  <c r="A17" i="2"/>
  <c r="H12" i="2"/>
  <c r="B12" i="2"/>
  <c r="D12" i="2"/>
  <c r="A12" i="2"/>
  <c r="H11" i="2"/>
  <c r="B11" i="2"/>
  <c r="D11" i="2"/>
  <c r="A11" i="2"/>
  <c r="H16" i="2"/>
  <c r="B16" i="2"/>
  <c r="D16" i="2"/>
  <c r="A16" i="2"/>
  <c r="Q27" i="1"/>
  <c r="Q30" i="1"/>
  <c r="Q29" i="1"/>
  <c r="Q26" i="1"/>
  <c r="F16" i="1"/>
  <c r="F17" i="1" s="1"/>
  <c r="C17" i="1"/>
  <c r="Q24" i="1"/>
  <c r="Q23" i="1"/>
  <c r="C7" i="1"/>
  <c r="C8" i="1"/>
  <c r="Q21" i="1"/>
  <c r="E18" i="2"/>
  <c r="E15" i="2"/>
  <c r="E13" i="2"/>
  <c r="E24" i="1"/>
  <c r="E22" i="1"/>
  <c r="F22" i="1"/>
  <c r="U22" i="1"/>
  <c r="E23" i="1"/>
  <c r="E21" i="1"/>
  <c r="F21" i="1"/>
  <c r="U21" i="1"/>
  <c r="E30" i="1"/>
  <c r="F30" i="1"/>
  <c r="G30" i="1"/>
  <c r="K30" i="1"/>
  <c r="E29" i="1"/>
  <c r="E28" i="1"/>
  <c r="F28" i="1"/>
  <c r="G28" i="1"/>
  <c r="I28" i="1"/>
  <c r="E27" i="1"/>
  <c r="F27" i="1"/>
  <c r="G27" i="1"/>
  <c r="J27" i="1"/>
  <c r="E26" i="1"/>
  <c r="F26" i="1"/>
  <c r="G26" i="1"/>
  <c r="K26" i="1"/>
  <c r="E25" i="1"/>
  <c r="F25" i="1"/>
  <c r="G25" i="1"/>
  <c r="K25" i="1"/>
  <c r="E11" i="2"/>
  <c r="F23" i="1"/>
  <c r="G23" i="1"/>
  <c r="F29" i="1"/>
  <c r="G29" i="1"/>
  <c r="K29" i="1"/>
  <c r="E14" i="2"/>
  <c r="E17" i="2"/>
  <c r="E12" i="2"/>
  <c r="F24" i="1"/>
  <c r="G24" i="1"/>
  <c r="K24" i="1"/>
  <c r="E16" i="2"/>
  <c r="K23" i="1"/>
  <c r="C12" i="1"/>
  <c r="C11" i="1"/>
  <c r="O31" i="1" l="1"/>
  <c r="O27" i="1"/>
  <c r="C15" i="1"/>
  <c r="O26" i="1"/>
  <c r="O29" i="1"/>
  <c r="O28" i="1"/>
  <c r="O30" i="1"/>
  <c r="O23" i="1"/>
  <c r="O25" i="1"/>
  <c r="O2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<sst xmlns="http://schemas.openxmlformats.org/spreadsheetml/2006/main" count="152" uniqueCount="108">
  <si>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</si>
  <si>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</si>
  <si>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</si>
  <si>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</si>
  <si>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</si>
  <si>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</si>
  <si>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</si>
  <si>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</si>
  <si>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</si>
  <si>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</si>
  <si>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</si>
  <si>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</si>
  <si>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</si>
  <si>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</si>
  <si>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</si>
  <si>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</si>
  <si>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</si>
  <si>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</si>
  <si>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</si>
  <si>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</si>
  <si>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</si>
  <si>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</si>
  <si>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</si>
  <si>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</si>
  <si>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</si>
  <si>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</si>
  <si>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</si>
  <si>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</si>
  <si>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5543</t>
  </si>
  <si>
    <t>II</t>
  </si>
  <si>
    <t>EB/KE</t>
  </si>
  <si>
    <t>DP Cas / GSC 04283-00857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</si>
  <si>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</si>
  <si>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</si>
  <si>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</si>
  <si>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</si>
  <si>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</si>
  <si>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</si>
  <si>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</si>
  <si>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</t>
  </si>
  <si>
    <t>Start of linear fit &gt;&gt;&gt;&gt;&gt;&gt;&gt;&gt;&gt;&gt;&gt;&gt;&gt;&gt;&gt;&gt;&gt;&gt;&gt;&gt;&gt;</t>
  </si>
  <si>
    <t>Add cycle</t>
  </si>
  <si>
    <t>Old Cycle</t>
  </si>
  <si>
    <t>OEJV 0137</t>
  </si>
  <si>
    <t>IBVS 6042</t>
  </si>
  <si>
    <t>2013JAVSO..41..328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</si>
  <si>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</si>
  <si>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</si>
  <si>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</si>
  <si>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</si>
  <si>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</si>
  <si>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</si>
  <si>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</si>
  <si>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</si>
  <si>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</si>
  <si>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</si>
  <si>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</si>
  <si>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</si>
  <si>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2452136.592 </t>
  </si>
  <si>
    <t> 15.08.2001 02:12 </t>
  </si>
  <si>
    <t> 0.088 </t>
  </si>
  <si>
    <t>E </t>
  </si>
  <si>
    <t>?</t>
  </si>
  <si>
    <t> R.Diethelm </t>
  </si>
  <si>
    <t> BBS 126 </t>
  </si>
  <si>
    <t>2452964.229 </t>
  </si>
  <si>
    <t> 20.11.2003 17:29 </t>
  </si>
  <si>
    <t> 0.076 </t>
  </si>
  <si>
    <t> E.Blättler </t>
  </si>
  <si>
    <t> BBS 130 </t>
  </si>
  <si>
    <t>2454097.256 </t>
  </si>
  <si>
    <t> 27.12.2006 18:08 </t>
  </si>
  <si>
    <t> 0.049 </t>
  </si>
  <si>
    <t>C </t>
  </si>
  <si>
    <t> R. Diethelm </t>
  </si>
  <si>
    <t> BBS 133 (=IBVS 5781) </t>
  </si>
  <si>
    <t>2455169.2026 </t>
  </si>
  <si>
    <t> 03.12.2009 16:51 </t>
  </si>
  <si>
    <t> 0.0221 </t>
  </si>
  <si>
    <t>R</t>
  </si>
  <si>
    <t> M.Lehky </t>
  </si>
  <si>
    <t>OEJV 0137 </t>
  </si>
  <si>
    <t>2455460.5517 </t>
  </si>
  <si>
    <t> 21.09.2010 01:14 </t>
  </si>
  <si>
    <t> 0.0144 </t>
  </si>
  <si>
    <t>-I</t>
  </si>
  <si>
    <t> F.Agerer </t>
  </si>
  <si>
    <t>BAVM 215 </t>
  </si>
  <si>
    <t>2455807.4850 </t>
  </si>
  <si>
    <t> 02.09.2011 23:38 </t>
  </si>
  <si>
    <t>23143</t>
  </si>
  <si>
    <t> 0.0071 </t>
  </si>
  <si>
    <t>BAVM 225 </t>
  </si>
  <si>
    <t>2456238.7058 </t>
  </si>
  <si>
    <t> 07.11.2012 04:56 </t>
  </si>
  <si>
    <t>23496</t>
  </si>
  <si>
    <t> -0.0047 </t>
  </si>
  <si>
    <t>IBVS 6042 </t>
  </si>
  <si>
    <t>2456258.2533 </t>
  </si>
  <si>
    <t> 26.11.2012 18:04 </t>
  </si>
  <si>
    <t>23512</t>
  </si>
  <si>
    <t> -0.0032 </t>
  </si>
  <si>
    <t> Y.Ogmen </t>
  </si>
  <si>
    <t> JAAVSO 41;328 </t>
  </si>
  <si>
    <t>BAD?</t>
  </si>
  <si>
    <t>CCD?</t>
  </si>
  <si>
    <t>vis / 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</si>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</sst>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DP Cas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16-40B5-BF83-FC664FD5C7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7">
                  <c:v>7.0540000015171245E-3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16-40B5-BF83-FC664FD5C7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1.4402000007976312E-2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16-40B5-BF83-FC664FD5C7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7.6259000001300592E-2</c:v>
                </c:pt>
                <c:pt idx="3">
                  <c:v>4.885400000057416E-2</c:v>
                </c:pt>
                <c:pt idx="4">
                  <c:v>2.2148999996716157E-2</c:v>
                </c:pt>
                <c:pt idx="5">
                  <c:v>2.2168999996210914E-2</c:v>
                </c:pt>
                <c:pt idx="8">
                  <c:v>-4.7119999944698066E-3</c:v>
                </c:pt>
                <c:pt idx="9">
                  <c:v>-3.1640000015613623E-3</c:v>
                </c:pt>
                <c:pt idx="10">
                  <c:v>-7.5881999997363891E-2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16-40B5-BF83-FC664FD5C7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16-40B5-BF83-FC664FD5C7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16-40B5-BF83-FC664FD5C7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16-40B5-BF83-FC664FD5C7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2">
                  <c:v>7.5583624973746932E-2</c:v>
                </c:pt>
                <c:pt idx="3">
                  <c:v>4.8254841777086499E-2</c:v>
                </c:pt>
                <c:pt idx="4">
                  <c:v>2.239930834843995E-2</c:v>
                </c:pt>
                <c:pt idx="5">
                  <c:v>2.239930834843995E-2</c:v>
                </c:pt>
                <c:pt idx="6">
                  <c:v>1.5371906955013004E-2</c:v>
                </c:pt>
                <c:pt idx="7">
                  <c:v>7.0038482726932916E-3</c:v>
                </c:pt>
                <c:pt idx="8">
                  <c:v>-3.3972950894859411E-3</c:v>
                </c:pt>
                <c:pt idx="9">
                  <c:v>-3.8687350152504241E-3</c:v>
                </c:pt>
                <c:pt idx="10">
                  <c:v>-7.661780855978384E-2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16-40B5-BF83-FC664FD5C75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0">
                  <c:v>0</c:v>
                </c:pt>
                <c:pt idx="1">
                  <c:v>8.816399999341229E-2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16-40B5-BF83-FC664FD5C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768192"/>
        <c:axId val="1"/>
      </c:scatterChart>
      <c:valAx>
        <c:axId val="59676819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68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9355492518201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DP Cas - O-C Diagr.</a:t>
            </a:r>
          </a:p>
        </c:rich>
      </c:tx>
      <c:layout>
        <c:manualLayout>
          <c:xMode val="edge"/>
          <c:yMode val="edge"/>
          <c:x val="0.375806451612903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D6-46E8-AD9E-2E4AD233A9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7">
                  <c:v>7.0540000015171245E-3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D6-46E8-AD9E-2E4AD233A9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1.4402000007976312E-2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D6-46E8-AD9E-2E4AD233A9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7.6259000001300592E-2</c:v>
                </c:pt>
                <c:pt idx="3">
                  <c:v>4.885400000057416E-2</c:v>
                </c:pt>
                <c:pt idx="4">
                  <c:v>2.2148999996716157E-2</c:v>
                </c:pt>
                <c:pt idx="5">
                  <c:v>2.2168999996210914E-2</c:v>
                </c:pt>
                <c:pt idx="8">
                  <c:v>-4.7119999944698066E-3</c:v>
                </c:pt>
                <c:pt idx="9">
                  <c:v>-3.1640000015613623E-3</c:v>
                </c:pt>
                <c:pt idx="10">
                  <c:v>-7.5881999997363891E-2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D6-46E8-AD9E-2E4AD233A9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D6-46E8-AD9E-2E4AD233A9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D6-46E8-AD9E-2E4AD233A9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6.0000000000000001E-3</c:v>
                  </c:pt>
                  <c:pt idx="3">
                    <c:v>3.0000000000000001E-3</c:v>
                  </c:pt>
                  <c:pt idx="4">
                    <c:v>0</c:v>
                  </c:pt>
                  <c:pt idx="5">
                    <c:v>2.9999999999999997E-4</c:v>
                  </c:pt>
                  <c:pt idx="6">
                    <c:v>6.1999999999999998E-3</c:v>
                  </c:pt>
                  <c:pt idx="7">
                    <c:v>0</c:v>
                  </c:pt>
                  <c:pt idx="8">
                    <c:v>3.0000000000000003E-4</c:v>
                  </c:pt>
                  <c:pt idx="9">
                    <c:v>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D6-46E8-AD9E-2E4AD233A9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2">
                  <c:v>7.5583624973746932E-2</c:v>
                </c:pt>
                <c:pt idx="3">
                  <c:v>4.8254841777086499E-2</c:v>
                </c:pt>
                <c:pt idx="4">
                  <c:v>2.239930834843995E-2</c:v>
                </c:pt>
                <c:pt idx="5">
                  <c:v>2.239930834843995E-2</c:v>
                </c:pt>
                <c:pt idx="6">
                  <c:v>1.5371906955013004E-2</c:v>
                </c:pt>
                <c:pt idx="7">
                  <c:v>7.0038482726932916E-3</c:v>
                </c:pt>
                <c:pt idx="8">
                  <c:v>-3.3972950894859411E-3</c:v>
                </c:pt>
                <c:pt idx="9">
                  <c:v>-3.8687350152504241E-3</c:v>
                </c:pt>
                <c:pt idx="10">
                  <c:v>-7.661780855978384E-2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D6-46E8-AD9E-2E4AD233A9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20138</c:v>
                </c:pt>
                <c:pt idx="2">
                  <c:v>20815.5</c:v>
                </c:pt>
                <c:pt idx="3">
                  <c:v>21743</c:v>
                </c:pt>
                <c:pt idx="4">
                  <c:v>22620.5</c:v>
                </c:pt>
                <c:pt idx="5">
                  <c:v>22620.5</c:v>
                </c:pt>
                <c:pt idx="6">
                  <c:v>22859</c:v>
                </c:pt>
                <c:pt idx="7">
                  <c:v>23143</c:v>
                </c:pt>
                <c:pt idx="8">
                  <c:v>23496</c:v>
                </c:pt>
                <c:pt idx="9">
                  <c:v>23512</c:v>
                </c:pt>
                <c:pt idx="10">
                  <c:v>25981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0">
                  <c:v>0</c:v>
                </c:pt>
                <c:pt idx="1">
                  <c:v>8.816399999341229E-2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D6-46E8-AD9E-2E4AD233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771144"/>
        <c:axId val="1"/>
      </c:scatterChart>
      <c:valAx>
        <c:axId val="596771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71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29032258064516"/>
          <c:y val="0.92073298764483702"/>
          <c:w val="0.7758064516129031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628650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1E34662-5D4B-F2C0-154F-2A9AFD8B4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504825</xdr:colOff>
      <xdr:row>0</xdr:row>
      <xdr:rowOff>19050</xdr:rowOff>
    </xdr:from>
    <xdr:to>
      <xdr:col>27</xdr:col>
      <xdr:colOff>238125</xdr:colOff>
      <xdr:row>18</xdr:row>
      <xdr:rowOff>66675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487CBF6-F31D-9DDB-262C-BD0E83DD8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</row>
    <row r="2" spans="1:6" x14ac:dyDescent="0.2">
      <c r="A2" t="s">
        <v>24</v>
      </c>
      <c r="B2" s="11" t="s">
        <v>30</v>
      </c>
    </row>
    <row r="4" spans="1:6" ht="14.25" thickTop="1" thickBot="1" x14ac:dyDescent="0.25">
      <c r="A4" s="6" t="s">
        <v>0</v>
      </c>
      <c r="C4" s="3">
        <v>27535.48</v>
      </c>
      <c r="D4" s="4">
        <v>1.221622</v>
      </c>
    </row>
    <row r="5" spans="1:6" ht="13.5" thickTop="1" x14ac:dyDescent="0.2">
      <c r="A5" s="15" t="s">
        <v>33</v>
      </c>
      <c r="B5" s="11"/>
      <c r="C5" s="16">
        <v>-9.5</v>
      </c>
      <c r="D5" s="11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27535.48</v>
      </c>
    </row>
    <row r="8" spans="1:6" x14ac:dyDescent="0.2">
      <c r="A8" t="s">
        <v>3</v>
      </c>
      <c r="C8">
        <f>+D4</f>
        <v>1.221622</v>
      </c>
    </row>
    <row r="9" spans="1:6" x14ac:dyDescent="0.2">
      <c r="A9" s="29" t="s">
        <v>40</v>
      </c>
      <c r="B9" s="30">
        <v>23</v>
      </c>
      <c r="C9" s="18" t="str">
        <f>"F"&amp;B9</f>
        <v>F23</v>
      </c>
      <c r="D9" s="19" t="str">
        <f>"G"&amp;B9</f>
        <v>G23</v>
      </c>
    </row>
    <row r="10" spans="1:6" ht="13.5" thickBot="1" x14ac:dyDescent="0.25">
      <c r="A10" s="11"/>
      <c r="B10" s="11"/>
      <c r="C10" s="5" t="s">
        <v>20</v>
      </c>
      <c r="D10" s="5" t="s">
        <v>21</v>
      </c>
      <c r="E10" s="11"/>
    </row>
    <row r="11" spans="1:6" x14ac:dyDescent="0.2">
      <c r="A11" s="11" t="s">
        <v>16</v>
      </c>
      <c r="B11" s="11"/>
      <c r="C11" s="17">
        <f ca="1">INTERCEPT(INDIRECT($D$9):G992,INDIRECT($C$9):F992)</f>
        <v>0.68891223589567341</v>
      </c>
      <c r="D11" s="14"/>
      <c r="E11" s="11"/>
    </row>
    <row r="12" spans="1:6" x14ac:dyDescent="0.2">
      <c r="A12" s="11" t="s">
        <v>17</v>
      </c>
      <c r="B12" s="11"/>
      <c r="C12" s="17">
        <f ca="1">SLOPE(INDIRECT($D$9):G992,INDIRECT($C$9):F992)</f>
        <v>-2.9464995360280869E-5</v>
      </c>
      <c r="D12" s="14"/>
      <c r="E12" s="11"/>
    </row>
    <row r="13" spans="1:6" x14ac:dyDescent="0.2">
      <c r="A13" s="11" t="s">
        <v>19</v>
      </c>
      <c r="B13" s="11"/>
      <c r="C13" s="14" t="s">
        <v>14</v>
      </c>
    </row>
    <row r="14" spans="1:6" x14ac:dyDescent="0.2">
      <c r="A14" s="11"/>
      <c r="B14" s="11"/>
      <c r="C14" s="11"/>
    </row>
    <row r="15" spans="1:6" x14ac:dyDescent="0.2">
      <c r="A15" s="20" t="s">
        <v>18</v>
      </c>
      <c r="B15" s="11"/>
      <c r="C15" s="21">
        <f ca="1">(C7+C11)+(C8+C12)*INT(MAX(F21:F3533))</f>
        <v>59274.364564191441</v>
      </c>
      <c r="E15" s="22" t="s">
        <v>41</v>
      </c>
      <c r="F15" s="16">
        <v>1</v>
      </c>
    </row>
    <row r="16" spans="1:6" x14ac:dyDescent="0.2">
      <c r="A16" s="24" t="s">
        <v>4</v>
      </c>
      <c r="B16" s="11"/>
      <c r="C16" s="25">
        <f ca="1">+C8+C12</f>
        <v>1.2215925350046397</v>
      </c>
      <c r="E16" s="22" t="s">
        <v>35</v>
      </c>
      <c r="F16" s="23">
        <f ca="1">NOW()+15018.5+$C$5/24</f>
        <v>60328.722725347223</v>
      </c>
    </row>
    <row r="17" spans="1:21" ht="13.5" thickBot="1" x14ac:dyDescent="0.25">
      <c r="A17" s="22" t="s">
        <v>32</v>
      </c>
      <c r="B17" s="11"/>
      <c r="C17" s="11">
        <f>COUNT(C21:C2191)</f>
        <v>11</v>
      </c>
      <c r="E17" s="22" t="s">
        <v>42</v>
      </c>
      <c r="F17" s="23">
        <f ca="1">ROUND(2*(F16-$C$7)/$C$8,0)/2+F15</f>
        <v>26845</v>
      </c>
    </row>
    <row r="18" spans="1:21" ht="14.25" thickTop="1" thickBot="1" x14ac:dyDescent="0.25">
      <c r="A18" s="24" t="s">
        <v>5</v>
      </c>
      <c r="B18" s="11"/>
      <c r="C18" s="27">
        <f ca="1">+C15</f>
        <v>59274.364564191441</v>
      </c>
      <c r="D18" s="28">
        <f ca="1">+C16</f>
        <v>1.2215925350046397</v>
      </c>
      <c r="E18" s="22" t="s">
        <v>36</v>
      </c>
      <c r="F18" s="19">
        <f ca="1">ROUND(2*(F16-$C$15)/$C$16,0)/2+F15</f>
        <v>864</v>
      </c>
    </row>
    <row r="19" spans="1:21" ht="13.5" thickTop="1" x14ac:dyDescent="0.2">
      <c r="E19" s="22" t="s">
        <v>37</v>
      </c>
      <c r="F19" s="26">
        <f ca="1">+$C$15+$C$16*F18-15018.5-$C$5/24</f>
        <v>45311.716347768786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54</v>
      </c>
      <c r="I20" s="8" t="s">
        <v>57</v>
      </c>
      <c r="J20" s="8" t="s">
        <v>51</v>
      </c>
      <c r="K20" s="8" t="s">
        <v>49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4" t="s">
        <v>104</v>
      </c>
    </row>
    <row r="21" spans="1:21" x14ac:dyDescent="0.2">
      <c r="A21" t="s">
        <v>12</v>
      </c>
      <c r="C21" s="12">
        <v>27535.48</v>
      </c>
      <c r="D21" s="12" t="s">
        <v>14</v>
      </c>
      <c r="E21">
        <f>+(C21-C$7)/C$8</f>
        <v>0</v>
      </c>
      <c r="F21">
        <f>ROUND(2*E21,0)/2</f>
        <v>0</v>
      </c>
      <c r="Q21" s="2">
        <f t="shared" ref="Q21:Q30" si="0">+C21-15018.5</f>
        <v>12516.98</v>
      </c>
      <c r="U21">
        <f>+C21-(C$7+F21*C$8)</f>
        <v>0</v>
      </c>
    </row>
    <row r="22" spans="1:21" x14ac:dyDescent="0.2">
      <c r="A22" s="52" t="s">
        <v>64</v>
      </c>
      <c r="B22" s="53" t="s">
        <v>39</v>
      </c>
      <c r="C22" s="52">
        <v>52136.591999999997</v>
      </c>
      <c r="D22" s="52" t="s">
        <v>57</v>
      </c>
      <c r="E22">
        <f>+(C22-C$7)/C$8</f>
        <v>20138.072169623661</v>
      </c>
      <c r="F22">
        <f>ROUND(2*E22,0)/2</f>
        <v>20138</v>
      </c>
      <c r="Q22" s="2">
        <f t="shared" si="0"/>
        <v>37118.091999999997</v>
      </c>
      <c r="U22">
        <f>+C22-(C$7+F22*C$8)</f>
        <v>8.816399999341229E-2</v>
      </c>
    </row>
    <row r="23" spans="1:21" x14ac:dyDescent="0.2">
      <c r="A23" s="9" t="s">
        <v>28</v>
      </c>
      <c r="B23" s="10" t="s">
        <v>29</v>
      </c>
      <c r="C23" s="9">
        <v>52964.228999999999</v>
      </c>
      <c r="D23" s="9">
        <v>6.0000000000000001E-3</v>
      </c>
      <c r="E23">
        <f t="shared" ref="E23:E30" si="1">+(C23-C$7)/C$8</f>
        <v>20815.562424383319</v>
      </c>
      <c r="F23">
        <f t="shared" ref="F23:F30" si="2">ROUND(2*E23,0)/2</f>
        <v>20815.5</v>
      </c>
      <c r="G23">
        <f>+C23-(C$7+F23*C$8)</f>
        <v>7.6259000001300592E-2</v>
      </c>
      <c r="K23">
        <f>G23</f>
        <v>7.6259000001300592E-2</v>
      </c>
      <c r="O23">
        <f t="shared" ref="O23:O30" ca="1" si="3">+C$11+C$12*$F23</f>
        <v>7.5583624973746932E-2</v>
      </c>
      <c r="Q23" s="2">
        <f t="shared" si="0"/>
        <v>37945.728999999999</v>
      </c>
      <c r="R23" t="s">
        <v>49</v>
      </c>
    </row>
    <row r="24" spans="1:21" x14ac:dyDescent="0.2">
      <c r="A24" s="13" t="s">
        <v>38</v>
      </c>
      <c r="B24" s="14" t="s">
        <v>39</v>
      </c>
      <c r="C24" s="12">
        <v>54097.256000000001</v>
      </c>
      <c r="D24" s="12">
        <v>3.0000000000000001E-3</v>
      </c>
      <c r="E24">
        <f t="shared" si="1"/>
        <v>21743.03999109381</v>
      </c>
      <c r="F24">
        <f t="shared" si="2"/>
        <v>21743</v>
      </c>
      <c r="G24">
        <f t="shared" ref="G24:G30" si="4">+C24-(C$7+F24*C$8)</f>
        <v>4.885400000057416E-2</v>
      </c>
      <c r="K24">
        <f>G24</f>
        <v>4.885400000057416E-2</v>
      </c>
      <c r="O24">
        <f t="shared" ca="1" si="3"/>
        <v>4.8254841777086499E-2</v>
      </c>
      <c r="Q24" s="2">
        <f t="shared" si="0"/>
        <v>39078.756000000001</v>
      </c>
      <c r="R24" t="s">
        <v>105</v>
      </c>
    </row>
    <row r="25" spans="1:21" x14ac:dyDescent="0.2">
      <c r="A25" s="52" t="s">
        <v>43</v>
      </c>
      <c r="B25" s="53" t="s">
        <v>29</v>
      </c>
      <c r="C25" s="52">
        <v>55169.202599999997</v>
      </c>
      <c r="D25" s="52" t="s">
        <v>57</v>
      </c>
      <c r="E25">
        <f t="shared" si="1"/>
        <v>22620.518130812965</v>
      </c>
      <c r="F25">
        <f t="shared" si="2"/>
        <v>22620.5</v>
      </c>
      <c r="G25">
        <f t="shared" si="4"/>
        <v>2.2148999996716157E-2</v>
      </c>
      <c r="K25">
        <f>G25</f>
        <v>2.2148999996716157E-2</v>
      </c>
      <c r="O25">
        <f t="shared" ca="1" si="3"/>
        <v>2.239930834843995E-2</v>
      </c>
      <c r="Q25" s="2">
        <f t="shared" si="0"/>
        <v>40150.702599999997</v>
      </c>
      <c r="R25" t="s">
        <v>106</v>
      </c>
    </row>
    <row r="26" spans="1:21" x14ac:dyDescent="0.2">
      <c r="A26" s="34" t="s">
        <v>43</v>
      </c>
      <c r="B26" s="35" t="s">
        <v>39</v>
      </c>
      <c r="C26" s="36">
        <v>55169.202619999996</v>
      </c>
      <c r="D26" s="36">
        <v>2.9999999999999997E-4</v>
      </c>
      <c r="E26">
        <f t="shared" si="1"/>
        <v>22620.518147184641</v>
      </c>
      <c r="F26">
        <f t="shared" si="2"/>
        <v>22620.5</v>
      </c>
      <c r="G26">
        <f t="shared" si="4"/>
        <v>2.2168999996210914E-2</v>
      </c>
      <c r="K26">
        <f>G26</f>
        <v>2.2168999996210914E-2</v>
      </c>
      <c r="O26">
        <f t="shared" ca="1" si="3"/>
        <v>2.239930834843995E-2</v>
      </c>
      <c r="Q26" s="2">
        <f t="shared" si="0"/>
        <v>40150.702619999996</v>
      </c>
      <c r="R26" t="s">
        <v>106</v>
      </c>
    </row>
    <row r="27" spans="1:21" x14ac:dyDescent="0.2">
      <c r="A27" s="37" t="s">
        <v>46</v>
      </c>
      <c r="B27" s="37"/>
      <c r="C27" s="38">
        <v>55460.551700000004</v>
      </c>
      <c r="D27" s="38">
        <v>6.1999999999999998E-3</v>
      </c>
      <c r="E27">
        <f t="shared" si="1"/>
        <v>22859.011789244141</v>
      </c>
      <c r="F27">
        <f t="shared" si="2"/>
        <v>22859</v>
      </c>
      <c r="G27">
        <f t="shared" si="4"/>
        <v>1.4402000007976312E-2</v>
      </c>
      <c r="J27">
        <f>G27</f>
        <v>1.4402000007976312E-2</v>
      </c>
      <c r="O27">
        <f t="shared" ca="1" si="3"/>
        <v>1.5371906955013004E-2</v>
      </c>
      <c r="Q27" s="2">
        <f t="shared" si="0"/>
        <v>40442.051700000004</v>
      </c>
      <c r="R27" t="s">
        <v>51</v>
      </c>
    </row>
    <row r="28" spans="1:21" x14ac:dyDescent="0.2">
      <c r="A28" s="52" t="s">
        <v>92</v>
      </c>
      <c r="B28" s="53" t="s">
        <v>39</v>
      </c>
      <c r="C28" s="52">
        <v>55807.485000000001</v>
      </c>
      <c r="D28" s="52" t="s">
        <v>57</v>
      </c>
      <c r="E28">
        <f t="shared" si="1"/>
        <v>23143.005774290246</v>
      </c>
      <c r="F28">
        <f t="shared" si="2"/>
        <v>23143</v>
      </c>
      <c r="G28">
        <f t="shared" si="4"/>
        <v>7.0540000015171245E-3</v>
      </c>
      <c r="I28">
        <f>+G28</f>
        <v>7.0540000015171245E-3</v>
      </c>
      <c r="O28">
        <f t="shared" ca="1" si="3"/>
        <v>7.0038482726932916E-3</v>
      </c>
      <c r="Q28" s="2">
        <f t="shared" si="0"/>
        <v>40788.985000000001</v>
      </c>
    </row>
    <row r="29" spans="1:21" x14ac:dyDescent="0.2">
      <c r="A29" s="34" t="s">
        <v>44</v>
      </c>
      <c r="B29" s="35" t="s">
        <v>39</v>
      </c>
      <c r="C29" s="36">
        <v>56238.705800000003</v>
      </c>
      <c r="D29" s="36">
        <v>3.0000000000000003E-4</v>
      </c>
      <c r="E29">
        <f t="shared" si="1"/>
        <v>23495.996142833057</v>
      </c>
      <c r="F29">
        <f t="shared" si="2"/>
        <v>23496</v>
      </c>
      <c r="G29">
        <f t="shared" si="4"/>
        <v>-4.7119999944698066E-3</v>
      </c>
      <c r="K29">
        <f>G29</f>
        <v>-4.7119999944698066E-3</v>
      </c>
      <c r="O29">
        <f t="shared" ca="1" si="3"/>
        <v>-3.3972950894859411E-3</v>
      </c>
      <c r="Q29" s="2">
        <f t="shared" si="0"/>
        <v>41220.205800000003</v>
      </c>
      <c r="R29" t="s">
        <v>49</v>
      </c>
    </row>
    <row r="30" spans="1:21" x14ac:dyDescent="0.2">
      <c r="A30" s="31" t="s">
        <v>45</v>
      </c>
      <c r="B30" s="32" t="s">
        <v>39</v>
      </c>
      <c r="C30" s="33">
        <v>56258.253299999997</v>
      </c>
      <c r="D30" s="33">
        <v>1E-4</v>
      </c>
      <c r="E30">
        <f t="shared" si="1"/>
        <v>23511.9974100008</v>
      </c>
      <c r="F30">
        <f t="shared" si="2"/>
        <v>23512</v>
      </c>
      <c r="G30">
        <f t="shared" si="4"/>
        <v>-3.1640000015613623E-3</v>
      </c>
      <c r="K30">
        <f>G30</f>
        <v>-3.1640000015613623E-3</v>
      </c>
      <c r="O30">
        <f t="shared" ca="1" si="3"/>
        <v>-3.8687350152504241E-3</v>
      </c>
      <c r="Q30" s="2">
        <f t="shared" si="0"/>
        <v>41239.753299999997</v>
      </c>
    </row>
    <row r="31" spans="1:21" x14ac:dyDescent="0.2">
      <c r="A31" s="55" t="s">
        <v>107</v>
      </c>
      <c r="B31" s="56" t="s">
        <v>29</v>
      </c>
      <c r="C31" s="57">
        <v>59274.365299999998</v>
      </c>
      <c r="D31" s="55">
        <v>8.0000000000000004E-4</v>
      </c>
      <c r="E31">
        <f t="shared" ref="E31" si="5">+(C31-C$7)/C$8</f>
        <v>25980.937884222778</v>
      </c>
      <c r="F31">
        <f t="shared" ref="F31" si="6">ROUND(2*E31,0)/2</f>
        <v>25981</v>
      </c>
      <c r="G31">
        <f t="shared" ref="G31" si="7">+C31-(C$7+F31*C$8)</f>
        <v>-7.5881999997363891E-2</v>
      </c>
      <c r="K31">
        <f>G31</f>
        <v>-7.5881999997363891E-2</v>
      </c>
      <c r="O31">
        <f t="shared" ref="O31" ca="1" si="8">+C$11+C$12*$F31</f>
        <v>-7.661780855978384E-2</v>
      </c>
      <c r="Q31" s="2">
        <f t="shared" ref="Q31" si="9">+C31-15018.5</f>
        <v>44255.865299999998</v>
      </c>
    </row>
    <row r="32" spans="1:21" x14ac:dyDescent="0.2">
      <c r="B32" s="14"/>
      <c r="C32" s="12"/>
      <c r="D32" s="12"/>
      <c r="Q32" s="2"/>
    </row>
    <row r="33" spans="3:17" x14ac:dyDescent="0.2">
      <c r="C33" s="12"/>
      <c r="D33" s="12"/>
      <c r="Q33" s="2"/>
    </row>
    <row r="34" spans="3:17" x14ac:dyDescent="0.2">
      <c r="C34" s="12"/>
      <c r="D34" s="12"/>
    </row>
    <row r="35" spans="3:17" x14ac:dyDescent="0.2">
      <c r="C35" s="12"/>
      <c r="D35" s="12"/>
    </row>
    <row r="36" spans="3:17" x14ac:dyDescent="0.2">
      <c r="C36" s="12"/>
      <c r="D36" s="12"/>
    </row>
    <row r="37" spans="3:17" x14ac:dyDescent="0.2">
      <c r="C37" s="12"/>
      <c r="D37" s="12"/>
    </row>
    <row r="38" spans="3:17" x14ac:dyDescent="0.2">
      <c r="C38" s="12"/>
      <c r="D38" s="12"/>
    </row>
    <row r="39" spans="3:17" x14ac:dyDescent="0.2">
      <c r="C39" s="12"/>
      <c r="D39" s="12"/>
    </row>
    <row r="40" spans="3:17" x14ac:dyDescent="0.2">
      <c r="C40" s="12"/>
      <c r="D40" s="12"/>
    </row>
    <row r="41" spans="3:17" x14ac:dyDescent="0.2">
      <c r="C41" s="12"/>
      <c r="D41" s="12"/>
    </row>
    <row r="42" spans="3:17" x14ac:dyDescent="0.2">
      <c r="C42" s="12"/>
      <c r="D42" s="12"/>
    </row>
    <row r="43" spans="3:17" x14ac:dyDescent="0.2">
      <c r="C43" s="12"/>
      <c r="D43" s="12"/>
    </row>
    <row r="44" spans="3:17" x14ac:dyDescent="0.2">
      <c r="C44" s="12"/>
      <c r="D44" s="12"/>
    </row>
    <row r="45" spans="3:17" x14ac:dyDescent="0.2">
      <c r="C45" s="12"/>
      <c r="D45" s="12"/>
    </row>
    <row r="46" spans="3:17" x14ac:dyDescent="0.2">
      <c r="C46" s="12"/>
      <c r="D46" s="12"/>
    </row>
    <row r="47" spans="3:17" x14ac:dyDescent="0.2">
      <c r="C47" s="12"/>
      <c r="D47" s="12"/>
    </row>
    <row r="48" spans="3:17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0"/>
  <sheetViews>
    <sheetView workbookViewId="0">
      <selection activeCell="A16" sqref="A16:D18"/>
    </sheetView>
  </sheetViews>
  <sheetFormatPr defaultRowHeight="12.75" x14ac:dyDescent="0.2"/>
  <cols>
    <col min="1" max="1" width="19.7109375" style="12" customWidth="1"/>
    <col min="2" max="2" width="4.42578125" style="11" customWidth="1"/>
    <col min="3" max="3" width="12.7109375" style="12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2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9" t="s">
        <v>47</v>
      </c>
      <c r="I1" s="40" t="s">
        <v>48</v>
      </c>
      <c r="J1" s="41" t="s">
        <v>49</v>
      </c>
    </row>
    <row r="2" spans="1:16" x14ac:dyDescent="0.2">
      <c r="I2" s="42" t="s">
        <v>50</v>
      </c>
      <c r="J2" s="43" t="s">
        <v>51</v>
      </c>
    </row>
    <row r="3" spans="1:16" x14ac:dyDescent="0.2">
      <c r="A3" s="44" t="s">
        <v>52</v>
      </c>
      <c r="I3" s="42" t="s">
        <v>53</v>
      </c>
      <c r="J3" s="43" t="s">
        <v>54</v>
      </c>
    </row>
    <row r="4" spans="1:16" x14ac:dyDescent="0.2">
      <c r="I4" s="42" t="s">
        <v>55</v>
      </c>
      <c r="J4" s="43" t="s">
        <v>54</v>
      </c>
    </row>
    <row r="5" spans="1:16" ht="13.5" thickBot="1" x14ac:dyDescent="0.25">
      <c r="I5" s="45" t="s">
        <v>56</v>
      </c>
      <c r="J5" s="46" t="s">
        <v>57</v>
      </c>
    </row>
    <row r="10" spans="1:16" ht="13.5" thickBot="1" x14ac:dyDescent="0.25"/>
    <row r="11" spans="1:16" ht="12.75" customHeight="1" thickBot="1" x14ac:dyDescent="0.25">
      <c r="A11" s="12" t="str">
        <f t="shared" ref="A11:A18" si="0">P11</f>
        <v> BBS 130 </v>
      </c>
      <c r="B11" s="14" t="str">
        <f t="shared" ref="B11:B18" si="1">IF(H11=INT(H11),"I","II")</f>
        <v>II</v>
      </c>
      <c r="C11" s="12">
        <f t="shared" ref="C11:C18" si="2">1*G11</f>
        <v>52964.228999999999</v>
      </c>
      <c r="D11" s="11" t="str">
        <f t="shared" ref="D11:D18" si="3">VLOOKUP(F11,I$1:J$5,2,FALSE)</f>
        <v>vis</v>
      </c>
      <c r="E11" s="47">
        <f>VLOOKUP(C11,Active!C$21:E$973,3,FALSE)</f>
        <v>20815.562424383319</v>
      </c>
      <c r="F11" s="14" t="s">
        <v>56</v>
      </c>
      <c r="G11" s="11" t="str">
        <f t="shared" ref="G11:G18" si="4">MID(I11,3,LEN(I11)-3)</f>
        <v>52964.229</v>
      </c>
      <c r="H11" s="12">
        <f t="shared" ref="H11:H18" si="5">1*K11</f>
        <v>20815.5</v>
      </c>
      <c r="I11" s="48" t="s">
        <v>65</v>
      </c>
      <c r="J11" s="49" t="s">
        <v>66</v>
      </c>
      <c r="K11" s="48">
        <v>20815.5</v>
      </c>
      <c r="L11" s="48" t="s">
        <v>67</v>
      </c>
      <c r="M11" s="49" t="s">
        <v>61</v>
      </c>
      <c r="N11" s="49" t="s">
        <v>62</v>
      </c>
      <c r="O11" s="50" t="s">
        <v>68</v>
      </c>
      <c r="P11" s="50" t="s">
        <v>69</v>
      </c>
    </row>
    <row r="12" spans="1:16" ht="12.75" customHeight="1" thickBot="1" x14ac:dyDescent="0.25">
      <c r="A12" s="12" t="str">
        <f t="shared" si="0"/>
        <v> BBS 133 (=IBVS 5781) </v>
      </c>
      <c r="B12" s="14" t="str">
        <f t="shared" si="1"/>
        <v>I</v>
      </c>
      <c r="C12" s="12">
        <f t="shared" si="2"/>
        <v>54097.256000000001</v>
      </c>
      <c r="D12" s="11" t="str">
        <f t="shared" si="3"/>
        <v>vis</v>
      </c>
      <c r="E12" s="47">
        <f>VLOOKUP(C12,Active!C$21:E$973,3,FALSE)</f>
        <v>21743.03999109381</v>
      </c>
      <c r="F12" s="14" t="s">
        <v>56</v>
      </c>
      <c r="G12" s="11" t="str">
        <f t="shared" si="4"/>
        <v>54097.256</v>
      </c>
      <c r="H12" s="12">
        <f t="shared" si="5"/>
        <v>21743</v>
      </c>
      <c r="I12" s="48" t="s">
        <v>70</v>
      </c>
      <c r="J12" s="49" t="s">
        <v>71</v>
      </c>
      <c r="K12" s="48">
        <v>21743</v>
      </c>
      <c r="L12" s="48" t="s">
        <v>72</v>
      </c>
      <c r="M12" s="49" t="s">
        <v>73</v>
      </c>
      <c r="N12" s="49" t="s">
        <v>56</v>
      </c>
      <c r="O12" s="50" t="s">
        <v>74</v>
      </c>
      <c r="P12" s="50" t="s">
        <v>75</v>
      </c>
    </row>
    <row r="13" spans="1:16" ht="12.75" customHeight="1" thickBot="1" x14ac:dyDescent="0.25">
      <c r="A13" s="12" t="str">
        <f t="shared" si="0"/>
        <v>BAVM 215 </v>
      </c>
      <c r="B13" s="14" t="str">
        <f t="shared" si="1"/>
        <v>I</v>
      </c>
      <c r="C13" s="12">
        <f t="shared" si="2"/>
        <v>55460.551700000004</v>
      </c>
      <c r="D13" s="11" t="str">
        <f t="shared" si="3"/>
        <v>vis</v>
      </c>
      <c r="E13" s="47">
        <f>VLOOKUP(C13,Active!C$21:E$973,3,FALSE)</f>
        <v>22859.011789244141</v>
      </c>
      <c r="F13" s="14" t="s">
        <v>56</v>
      </c>
      <c r="G13" s="11" t="str">
        <f t="shared" si="4"/>
        <v>55460.5517</v>
      </c>
      <c r="H13" s="12">
        <f t="shared" si="5"/>
        <v>22859</v>
      </c>
      <c r="I13" s="48" t="s">
        <v>82</v>
      </c>
      <c r="J13" s="49" t="s">
        <v>83</v>
      </c>
      <c r="K13" s="48">
        <v>22859</v>
      </c>
      <c r="L13" s="48" t="s">
        <v>84</v>
      </c>
      <c r="M13" s="49" t="s">
        <v>73</v>
      </c>
      <c r="N13" s="49" t="s">
        <v>85</v>
      </c>
      <c r="O13" s="50" t="s">
        <v>86</v>
      </c>
      <c r="P13" s="51" t="s">
        <v>87</v>
      </c>
    </row>
    <row r="14" spans="1:16" ht="12.75" customHeight="1" thickBot="1" x14ac:dyDescent="0.25">
      <c r="A14" s="12" t="str">
        <f t="shared" si="0"/>
        <v>IBVS 6042 </v>
      </c>
      <c r="B14" s="14" t="str">
        <f t="shared" si="1"/>
        <v>I</v>
      </c>
      <c r="C14" s="12">
        <f t="shared" si="2"/>
        <v>56238.705800000003</v>
      </c>
      <c r="D14" s="11" t="str">
        <f t="shared" si="3"/>
        <v>vis</v>
      </c>
      <c r="E14" s="47">
        <f>VLOOKUP(C14,Active!C$21:E$973,3,FALSE)</f>
        <v>23495.996142833057</v>
      </c>
      <c r="F14" s="14" t="s">
        <v>56</v>
      </c>
      <c r="G14" s="11" t="str">
        <f t="shared" si="4"/>
        <v>56238.7058</v>
      </c>
      <c r="H14" s="12">
        <f t="shared" si="5"/>
        <v>23496</v>
      </c>
      <c r="I14" s="48" t="s">
        <v>93</v>
      </c>
      <c r="J14" s="49" t="s">
        <v>94</v>
      </c>
      <c r="K14" s="48" t="s">
        <v>95</v>
      </c>
      <c r="L14" s="48" t="s">
        <v>96</v>
      </c>
      <c r="M14" s="49" t="s">
        <v>73</v>
      </c>
      <c r="N14" s="49" t="s">
        <v>56</v>
      </c>
      <c r="O14" s="50" t="s">
        <v>63</v>
      </c>
      <c r="P14" s="51" t="s">
        <v>97</v>
      </c>
    </row>
    <row r="15" spans="1:16" ht="12.75" customHeight="1" thickBot="1" x14ac:dyDescent="0.25">
      <c r="A15" s="12" t="str">
        <f t="shared" si="0"/>
        <v> JAAVSO 41;328 </v>
      </c>
      <c r="B15" s="14" t="str">
        <f t="shared" si="1"/>
        <v>I</v>
      </c>
      <c r="C15" s="12">
        <f t="shared" si="2"/>
        <v>56258.253299999997</v>
      </c>
      <c r="D15" s="11" t="str">
        <f t="shared" si="3"/>
        <v>vis</v>
      </c>
      <c r="E15" s="47">
        <f>VLOOKUP(C15,Active!C$21:E$973,3,FALSE)</f>
        <v>23511.9974100008</v>
      </c>
      <c r="F15" s="14" t="s">
        <v>56</v>
      </c>
      <c r="G15" s="11" t="str">
        <f t="shared" si="4"/>
        <v>56258.2533</v>
      </c>
      <c r="H15" s="12">
        <f t="shared" si="5"/>
        <v>23512</v>
      </c>
      <c r="I15" s="48" t="s">
        <v>98</v>
      </c>
      <c r="J15" s="49" t="s">
        <v>99</v>
      </c>
      <c r="K15" s="48" t="s">
        <v>100</v>
      </c>
      <c r="L15" s="48" t="s">
        <v>101</v>
      </c>
      <c r="M15" s="49" t="s">
        <v>73</v>
      </c>
      <c r="N15" s="49" t="s">
        <v>48</v>
      </c>
      <c r="O15" s="50" t="s">
        <v>102</v>
      </c>
      <c r="P15" s="50" t="s">
        <v>103</v>
      </c>
    </row>
    <row r="16" spans="1:16" ht="12.75" customHeight="1" thickBot="1" x14ac:dyDescent="0.25">
      <c r="A16" s="12" t="str">
        <f t="shared" si="0"/>
        <v> BBS 126 </v>
      </c>
      <c r="B16" s="14" t="str">
        <f t="shared" si="1"/>
        <v>I</v>
      </c>
      <c r="C16" s="12">
        <f t="shared" si="2"/>
        <v>52136.591999999997</v>
      </c>
      <c r="D16" s="11" t="str">
        <f t="shared" si="3"/>
        <v>vis</v>
      </c>
      <c r="E16" s="47">
        <f>VLOOKUP(C16,Active!C$21:E$973,3,FALSE)</f>
        <v>20138.072169623661</v>
      </c>
      <c r="F16" s="14" t="s">
        <v>56</v>
      </c>
      <c r="G16" s="11" t="str">
        <f t="shared" si="4"/>
        <v>52136.592</v>
      </c>
      <c r="H16" s="12">
        <f t="shared" si="5"/>
        <v>20138</v>
      </c>
      <c r="I16" s="48" t="s">
        <v>58</v>
      </c>
      <c r="J16" s="49" t="s">
        <v>59</v>
      </c>
      <c r="K16" s="48">
        <v>20138</v>
      </c>
      <c r="L16" s="48" t="s">
        <v>60</v>
      </c>
      <c r="M16" s="49" t="s">
        <v>61</v>
      </c>
      <c r="N16" s="49" t="s">
        <v>62</v>
      </c>
      <c r="O16" s="50" t="s">
        <v>63</v>
      </c>
      <c r="P16" s="50" t="s">
        <v>64</v>
      </c>
    </row>
    <row r="17" spans="1:16" ht="12.75" customHeight="1" thickBot="1" x14ac:dyDescent="0.25">
      <c r="A17" s="12" t="str">
        <f t="shared" si="0"/>
        <v>OEJV 0137 </v>
      </c>
      <c r="B17" s="14" t="str">
        <f t="shared" si="1"/>
        <v>II</v>
      </c>
      <c r="C17" s="12">
        <f t="shared" si="2"/>
        <v>55169.202599999997</v>
      </c>
      <c r="D17" s="11" t="str">
        <f t="shared" si="3"/>
        <v>vis</v>
      </c>
      <c r="E17" s="47">
        <f>VLOOKUP(C17,Active!C$21:E$973,3,FALSE)</f>
        <v>22620.518130812965</v>
      </c>
      <c r="F17" s="14" t="s">
        <v>56</v>
      </c>
      <c r="G17" s="11" t="str">
        <f t="shared" si="4"/>
        <v>55169.2026</v>
      </c>
      <c r="H17" s="12">
        <f t="shared" si="5"/>
        <v>22620.5</v>
      </c>
      <c r="I17" s="48" t="s">
        <v>76</v>
      </c>
      <c r="J17" s="49" t="s">
        <v>77</v>
      </c>
      <c r="K17" s="48">
        <v>22620.5</v>
      </c>
      <c r="L17" s="48" t="s">
        <v>78</v>
      </c>
      <c r="M17" s="49" t="s">
        <v>73</v>
      </c>
      <c r="N17" s="49" t="s">
        <v>79</v>
      </c>
      <c r="O17" s="50" t="s">
        <v>80</v>
      </c>
      <c r="P17" s="51" t="s">
        <v>81</v>
      </c>
    </row>
    <row r="18" spans="1:16" ht="12.75" customHeight="1" thickBot="1" x14ac:dyDescent="0.25">
      <c r="A18" s="12" t="str">
        <f t="shared" si="0"/>
        <v>BAVM 225 </v>
      </c>
      <c r="B18" s="14" t="str">
        <f t="shared" si="1"/>
        <v>I</v>
      </c>
      <c r="C18" s="12">
        <f t="shared" si="2"/>
        <v>55807.485000000001</v>
      </c>
      <c r="D18" s="11" t="str">
        <f t="shared" si="3"/>
        <v>vis</v>
      </c>
      <c r="E18" s="47">
        <f>VLOOKUP(C18,Active!C$21:E$973,3,FALSE)</f>
        <v>23143.005774290246</v>
      </c>
      <c r="F18" s="14" t="s">
        <v>56</v>
      </c>
      <c r="G18" s="11" t="str">
        <f t="shared" si="4"/>
        <v>55807.4850</v>
      </c>
      <c r="H18" s="12">
        <f t="shared" si="5"/>
        <v>23143</v>
      </c>
      <c r="I18" s="48" t="s">
        <v>88</v>
      </c>
      <c r="J18" s="49" t="s">
        <v>89</v>
      </c>
      <c r="K18" s="48" t="s">
        <v>90</v>
      </c>
      <c r="L18" s="48" t="s">
        <v>91</v>
      </c>
      <c r="M18" s="49" t="s">
        <v>73</v>
      </c>
      <c r="N18" s="49" t="s">
        <v>85</v>
      </c>
      <c r="O18" s="50" t="s">
        <v>86</v>
      </c>
      <c r="P18" s="51" t="s">
        <v>92</v>
      </c>
    </row>
    <row r="19" spans="1:16" x14ac:dyDescent="0.2">
      <c r="B19" s="14"/>
      <c r="F19" s="14"/>
    </row>
    <row r="20" spans="1:16" x14ac:dyDescent="0.2">
      <c r="B20" s="14"/>
      <c r="F20" s="14"/>
    </row>
    <row r="21" spans="1:16" x14ac:dyDescent="0.2">
      <c r="B21" s="14"/>
      <c r="F21" s="14"/>
    </row>
    <row r="22" spans="1:16" x14ac:dyDescent="0.2">
      <c r="B22" s="14"/>
      <c r="F22" s="14"/>
    </row>
    <row r="23" spans="1:16" x14ac:dyDescent="0.2">
      <c r="B23" s="14"/>
      <c r="F23" s="14"/>
    </row>
    <row r="24" spans="1:16" x14ac:dyDescent="0.2">
      <c r="B24" s="14"/>
      <c r="F24" s="14"/>
    </row>
    <row r="25" spans="1:16" x14ac:dyDescent="0.2">
      <c r="B25" s="14"/>
      <c r="F25" s="14"/>
    </row>
    <row r="26" spans="1:16" x14ac:dyDescent="0.2">
      <c r="B26" s="14"/>
      <c r="F26" s="14"/>
    </row>
    <row r="27" spans="1:16" x14ac:dyDescent="0.2">
      <c r="B27" s="14"/>
      <c r="F27" s="14"/>
    </row>
    <row r="28" spans="1:16" x14ac:dyDescent="0.2">
      <c r="B28" s="14"/>
      <c r="F28" s="14"/>
    </row>
    <row r="29" spans="1:16" x14ac:dyDescent="0.2">
      <c r="B29" s="14"/>
      <c r="F29" s="14"/>
    </row>
    <row r="30" spans="1:16" x14ac:dyDescent="0.2">
      <c r="B30" s="14"/>
      <c r="F30" s="14"/>
    </row>
    <row r="31" spans="1:16" x14ac:dyDescent="0.2">
      <c r="B31" s="14"/>
      <c r="F31" s="14"/>
    </row>
    <row r="32" spans="1:16" x14ac:dyDescent="0.2">
      <c r="B32" s="14"/>
      <c r="F32" s="14"/>
    </row>
    <row r="33" spans="2:6" x14ac:dyDescent="0.2">
      <c r="B33" s="14"/>
      <c r="F33" s="14"/>
    </row>
    <row r="34" spans="2:6" x14ac:dyDescent="0.2">
      <c r="B34" s="14"/>
      <c r="F34" s="14"/>
    </row>
    <row r="35" spans="2:6" x14ac:dyDescent="0.2">
      <c r="B35" s="14"/>
      <c r="F35" s="14"/>
    </row>
    <row r="36" spans="2:6" x14ac:dyDescent="0.2">
      <c r="B36" s="14"/>
      <c r="F36" s="14"/>
    </row>
    <row r="37" spans="2:6" x14ac:dyDescent="0.2">
      <c r="B37" s="14"/>
      <c r="F37" s="14"/>
    </row>
    <row r="38" spans="2:6" x14ac:dyDescent="0.2">
      <c r="B38" s="14"/>
      <c r="F38" s="14"/>
    </row>
    <row r="39" spans="2:6" x14ac:dyDescent="0.2">
      <c r="B39" s="14"/>
      <c r="F39" s="14"/>
    </row>
    <row r="40" spans="2:6" x14ac:dyDescent="0.2">
      <c r="B40" s="14"/>
      <c r="F40" s="14"/>
    </row>
    <row r="41" spans="2:6" x14ac:dyDescent="0.2">
      <c r="B41" s="14"/>
      <c r="F41" s="14"/>
    </row>
    <row r="42" spans="2:6" x14ac:dyDescent="0.2">
      <c r="B42" s="14"/>
      <c r="F42" s="14"/>
    </row>
    <row r="43" spans="2:6" x14ac:dyDescent="0.2">
      <c r="B43" s="14"/>
      <c r="F43" s="14"/>
    </row>
    <row r="44" spans="2:6" x14ac:dyDescent="0.2">
      <c r="B44" s="14"/>
      <c r="F44" s="14"/>
    </row>
    <row r="45" spans="2:6" x14ac:dyDescent="0.2">
      <c r="B45" s="14"/>
      <c r="F45" s="14"/>
    </row>
    <row r="46" spans="2:6" x14ac:dyDescent="0.2">
      <c r="B46" s="14"/>
      <c r="F46" s="14"/>
    </row>
    <row r="47" spans="2:6" x14ac:dyDescent="0.2">
      <c r="B47" s="14"/>
      <c r="F47" s="14"/>
    </row>
    <row r="48" spans="2:6" x14ac:dyDescent="0.2">
      <c r="B48" s="14"/>
      <c r="F48" s="14"/>
    </row>
    <row r="49" spans="2:6" x14ac:dyDescent="0.2">
      <c r="B49" s="14"/>
      <c r="F49" s="14"/>
    </row>
    <row r="50" spans="2:6" x14ac:dyDescent="0.2">
      <c r="B50" s="14"/>
      <c r="F50" s="14"/>
    </row>
    <row r="51" spans="2:6" x14ac:dyDescent="0.2">
      <c r="B51" s="14"/>
      <c r="F51" s="14"/>
    </row>
    <row r="52" spans="2:6" x14ac:dyDescent="0.2">
      <c r="B52" s="14"/>
      <c r="F52" s="14"/>
    </row>
    <row r="53" spans="2:6" x14ac:dyDescent="0.2">
      <c r="B53" s="14"/>
      <c r="F53" s="14"/>
    </row>
    <row r="54" spans="2:6" x14ac:dyDescent="0.2">
      <c r="B54" s="14"/>
      <c r="F54" s="14"/>
    </row>
    <row r="55" spans="2:6" x14ac:dyDescent="0.2">
      <c r="B55" s="14"/>
      <c r="F55" s="14"/>
    </row>
    <row r="56" spans="2:6" x14ac:dyDescent="0.2">
      <c r="B56" s="14"/>
      <c r="F56" s="14"/>
    </row>
    <row r="57" spans="2:6" x14ac:dyDescent="0.2">
      <c r="B57" s="14"/>
      <c r="F57" s="14"/>
    </row>
    <row r="58" spans="2:6" x14ac:dyDescent="0.2">
      <c r="B58" s="14"/>
      <c r="F58" s="14"/>
    </row>
    <row r="59" spans="2:6" x14ac:dyDescent="0.2">
      <c r="B59" s="14"/>
      <c r="F59" s="14"/>
    </row>
    <row r="60" spans="2:6" x14ac:dyDescent="0.2">
      <c r="B60" s="14"/>
      <c r="F60" s="14"/>
    </row>
    <row r="61" spans="2:6" x14ac:dyDescent="0.2">
      <c r="B61" s="14"/>
      <c r="F61" s="14"/>
    </row>
    <row r="62" spans="2:6" x14ac:dyDescent="0.2">
      <c r="B62" s="14"/>
      <c r="F62" s="14"/>
    </row>
    <row r="63" spans="2:6" x14ac:dyDescent="0.2">
      <c r="B63" s="14"/>
      <c r="F63" s="14"/>
    </row>
    <row r="64" spans="2:6" x14ac:dyDescent="0.2">
      <c r="B64" s="14"/>
      <c r="F64" s="14"/>
    </row>
    <row r="65" spans="2:6" x14ac:dyDescent="0.2">
      <c r="B65" s="14"/>
      <c r="F65" s="14"/>
    </row>
    <row r="66" spans="2:6" x14ac:dyDescent="0.2">
      <c r="B66" s="14"/>
      <c r="F66" s="14"/>
    </row>
    <row r="67" spans="2:6" x14ac:dyDescent="0.2">
      <c r="B67" s="14"/>
      <c r="F67" s="14"/>
    </row>
    <row r="68" spans="2:6" x14ac:dyDescent="0.2">
      <c r="B68" s="14"/>
      <c r="F68" s="14"/>
    </row>
    <row r="69" spans="2:6" x14ac:dyDescent="0.2">
      <c r="B69" s="14"/>
      <c r="F69" s="14"/>
    </row>
    <row r="70" spans="2:6" x14ac:dyDescent="0.2">
      <c r="B70" s="14"/>
      <c r="F70" s="14"/>
    </row>
    <row r="71" spans="2:6" x14ac:dyDescent="0.2">
      <c r="B71" s="14"/>
      <c r="F71" s="14"/>
    </row>
    <row r="72" spans="2:6" x14ac:dyDescent="0.2">
      <c r="B72" s="14"/>
      <c r="F72" s="14"/>
    </row>
    <row r="73" spans="2:6" x14ac:dyDescent="0.2">
      <c r="B73" s="14"/>
      <c r="F73" s="14"/>
    </row>
    <row r="74" spans="2:6" x14ac:dyDescent="0.2">
      <c r="B74" s="14"/>
      <c r="F74" s="14"/>
    </row>
    <row r="75" spans="2:6" x14ac:dyDescent="0.2">
      <c r="B75" s="14"/>
      <c r="F75" s="14"/>
    </row>
    <row r="76" spans="2:6" x14ac:dyDescent="0.2">
      <c r="B76" s="14"/>
      <c r="F76" s="14"/>
    </row>
    <row r="77" spans="2:6" x14ac:dyDescent="0.2">
      <c r="B77" s="14"/>
      <c r="F77" s="14"/>
    </row>
    <row r="78" spans="2:6" x14ac:dyDescent="0.2">
      <c r="B78" s="14"/>
      <c r="F78" s="14"/>
    </row>
    <row r="79" spans="2:6" x14ac:dyDescent="0.2">
      <c r="B79" s="14"/>
      <c r="F79" s="14"/>
    </row>
    <row r="80" spans="2: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</sheetData>
  <phoneticPr fontId="7" type="noConversion"/>
  <hyperlinks>
    <hyperlink ref="A3" r:id="rId1" xr:uid="{00000000-0004-0000-0100-000000000000}"/>
    <hyperlink ref="P17" r:id="rId2" display="http://var.astro.cz/oejv/issues/oejv0137.pdf" xr:uid="{00000000-0004-0000-0100-000001000000}"/>
    <hyperlink ref="P13" r:id="rId3" display="http://www.bav-astro.de/sfs/BAVM_link.php?BAVMnr=215" xr:uid="{00000000-0004-0000-0100-000002000000}"/>
    <hyperlink ref="P18" r:id="rId4" display="http://www.bav-astro.de/sfs/BAVM_link.php?BAVMnr=225" xr:uid="{00000000-0004-0000-0100-000003000000}"/>
    <hyperlink ref="P14" r:id="rId5" display="http://www.konkoly.hu/cgi-bin/IBVS?6042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2024-01-19T04:20:43Z</dcterms:modified>
</cp:coreProperties>
</file>