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66197C4-6A58-4890-8801-092F1E6AC1A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C14" i="1"/>
  <c r="C13" i="1"/>
  <c r="E21" i="1"/>
  <c r="F21" i="1"/>
  <c r="G21" i="1"/>
  <c r="R21" i="1"/>
  <c r="R19" i="1"/>
  <c r="E18" i="1"/>
  <c r="D14" i="1"/>
  <c r="D13" i="1"/>
  <c r="Q22" i="1"/>
  <c r="F12" i="1"/>
  <c r="C17" i="1"/>
  <c r="Q21" i="1"/>
  <c r="S22" i="1"/>
  <c r="I22" i="1"/>
  <c r="I21" i="1"/>
  <c r="S19" i="1"/>
  <c r="E19" i="1"/>
  <c r="D12" i="1"/>
  <c r="D11" i="1"/>
  <c r="C11" i="1"/>
  <c r="P21" i="1" l="1"/>
  <c r="D15" i="1"/>
  <c r="P22" i="1"/>
  <c r="D16" i="1"/>
  <c r="F13" i="1"/>
  <c r="C12" i="1"/>
  <c r="C16" i="1" l="1"/>
  <c r="O22" i="1"/>
  <c r="C15" i="1"/>
  <c r="O21" i="1"/>
  <c r="F14" i="1" l="1"/>
  <c r="F15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<sst xmlns="http://schemas.openxmlformats.org/spreadsheetml/2006/main" count="59" uniqueCount="51">
  <si>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</si>
  <si>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</si>
  <si>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</si>
  <si>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</si>
  <si>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</si>
  <si>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</si>
  <si>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</si>
  <si>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</si>
  <si>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</si>
  <si>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</si>
  <si>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</si>
  <si>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</si>
  <si>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</si>
  <si>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</si>
  <si>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</si>
  <si>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</si>
  <si>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</si>
  <si>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</si>
  <si>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</si>
  <si>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</si>
  <si>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</si>
  <si>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</si>
  <si>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</si>
  <si>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</si>
  <si>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</si>
  <si>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</si>
  <si>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</si>
  <si>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</si>
  <si>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</si>
  <si>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</si>
  <si>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</si>
  <si>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</si>
  <si>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</si>
  <si>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</si>
  <si>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</si>
  <si>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</si>
  <si>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</si>
  <si>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</si>
  <si>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</si>
  <si>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pg</t>
  </si>
  <si>
    <t>vis</t>
  </si>
  <si>
    <t>PE</t>
  </si>
  <si>
    <t>CCD</t>
  </si>
  <si>
    <t>G4281-0972</t>
  </si>
  <si>
    <t>2015K</t>
  </si>
  <si>
    <t>G4281-0972 (p)</t>
  </si>
  <si>
    <t>pr_6</t>
  </si>
  <si>
    <t>not avail.</t>
  </si>
  <si>
    <t>OEJV 0172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</si>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</sst>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0" fillId="2" borderId="1" xfId="0" applyFill="1" applyBorder="1" applyAlignment="1">
      <alignment horizontal="left"/>
    </xf>
    <xf numFmtId="0" fontId="9" fillId="0" borderId="1" xfId="0" applyFont="1" applyBorder="1">
      <alignment vertical="top"/>
    </xf>
    <xf numFmtId="0" fontId="5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6" fontId="9" fillId="3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0" xfId="7" applyNumberFormat="1" applyFont="1" applyFill="1" applyBorder="1" applyAlignment="1" applyProtection="1">
      <alignment horizontal="left" vertical="top"/>
    </xf>
    <xf numFmtId="0" fontId="17" fillId="0" borderId="0" xfId="7" applyNumberFormat="1" applyFont="1" applyFill="1" applyBorder="1" applyAlignment="1" applyProtection="1">
      <alignment horizontal="center" vertical="top"/>
    </xf>
    <xf numFmtId="172" fontId="17" fillId="0" borderId="0" xfId="7" applyNumberFormat="1" applyFont="1" applyFill="1" applyBorder="1" applyAlignment="1" applyProtection="1">
      <alignment horizontal="left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G4281-0972 - O-C Diagr.</a:t>
            </a:r>
          </a:p>
        </c:rich>
      </c:tx>
      <c:layout>
        <c:manualLayout>
          <c:xMode val="edge"/>
          <c:yMode val="edge"/>
          <c:x val="0.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225806451612903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56055.616000000002</c:v>
                  </c:pt>
                  <c:pt idx="1">
                    <c:v>56056.593999999997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56055.616000000002</c:v>
                  </c:pt>
                  <c:pt idx="1">
                    <c:v>56056.593999999997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CC-4844-9AE2-029D372571F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8.9999999999999993E-3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1.0000000038417056E-3</c:v>
                </c:pt>
                <c:pt idx="1">
                  <c:v>-3.5250000000814907E-3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CC-4844-9AE2-029D372571F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8.9999999999999993E-3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CC-4844-9AE2-029D372571F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CC-4844-9AE2-029D372571F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CC-4844-9AE2-029D372571F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CC-4844-9AE2-029D372571F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CC-4844-9AE2-029D372571F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CC-4844-9AE2-029D372571F6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CC-4844-9AE2-029D37257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45344"/>
        <c:axId val="1"/>
      </c:scatterChart>
      <c:valAx>
        <c:axId val="53054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451612903225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54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G4281-0972 - Prim. O-C Diagr.</a:t>
            </a:r>
          </a:p>
        </c:rich>
      </c:tx>
      <c:layout>
        <c:manualLayout>
          <c:xMode val="edge"/>
          <c:yMode val="edge"/>
          <c:x val="0.2640334823011988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7754756686465254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1.0000000038417056E-3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AA-443B-8C9B-C28BC686648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AA-443B-8C9B-C28BC686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072784"/>
        <c:axId val="1"/>
      </c:scatterChart>
      <c:valAx>
        <c:axId val="69307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3039708394038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07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72185025728331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G4281-0972 - Sec. O-C Diagr.</a:t>
            </a:r>
          </a:p>
        </c:rich>
      </c:tx>
      <c:layout>
        <c:manualLayout>
          <c:xMode val="edge"/>
          <c:yMode val="edge"/>
          <c:x val="0.273469602014033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91856257828702"/>
          <c:y val="0.1458966565349544"/>
          <c:w val="0.7571436116306716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-3.5250000000814907E-3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CA-44E8-8EC3-A21EFD42728F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CA-44E8-8EC3-A21EFD42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33872"/>
        <c:axId val="1"/>
      </c:scatterChart>
      <c:valAx>
        <c:axId val="42793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48986019604692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33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816369382398626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0</xdr:row>
      <xdr:rowOff>1</xdr:rowOff>
    </xdr:from>
    <xdr:to>
      <xdr:col>19</xdr:col>
      <xdr:colOff>247649</xdr:colOff>
      <xdr:row>18</xdr:row>
      <xdr:rowOff>38101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10FA3FD-9E07-74E2-CA6C-1C03CB01A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14</xdr:col>
      <xdr:colOff>142875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879A4D-1E6A-45F5-3208-F3609353C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0</xdr:row>
      <xdr:rowOff>0</xdr:rowOff>
    </xdr:from>
    <xdr:to>
      <xdr:col>21</xdr:col>
      <xdr:colOff>561975</xdr:colOff>
      <xdr:row>19</xdr:row>
      <xdr:rowOff>57150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C304BD3-08EF-C02D-90E3-C7EA218C2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4.71093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43</v>
      </c>
      <c r="F1" s="36" t="s">
        <v>43</v>
      </c>
      <c r="G1" s="37" t="s">
        <v>44</v>
      </c>
      <c r="H1" s="37">
        <v>1</v>
      </c>
      <c r="I1" s="38" t="s">
        <v>43</v>
      </c>
      <c r="J1" s="39" t="s">
        <v>45</v>
      </c>
      <c r="K1" s="40">
        <v>23.462800000000001</v>
      </c>
      <c r="L1" s="40">
        <v>61.164900000000003</v>
      </c>
      <c r="M1" s="41">
        <v>56055.614999999998</v>
      </c>
      <c r="N1" s="42">
        <v>1.96505</v>
      </c>
      <c r="O1" s="40" t="s">
        <v>26</v>
      </c>
      <c r="P1" s="43">
        <v>12.5</v>
      </c>
      <c r="Q1" s="44">
        <v>99</v>
      </c>
      <c r="R1" s="45" t="s">
        <v>46</v>
      </c>
      <c r="S1" s="40" t="s">
        <v>26</v>
      </c>
    </row>
    <row r="2" spans="1:19" x14ac:dyDescent="0.2">
      <c r="A2" t="s">
        <v>16</v>
      </c>
      <c r="B2" t="s">
        <v>26</v>
      </c>
      <c r="C2" s="46"/>
      <c r="D2" s="13"/>
    </row>
    <row r="3" spans="1:19" ht="13.5" thickBot="1" x14ac:dyDescent="0.25"/>
    <row r="4" spans="1:19" ht="14.25" thickTop="1" thickBot="1" x14ac:dyDescent="0.25">
      <c r="A4" s="6" t="s">
        <v>0</v>
      </c>
      <c r="C4" s="47" t="s">
        <v>47</v>
      </c>
      <c r="D4" s="48" t="s">
        <v>47</v>
      </c>
    </row>
    <row r="5" spans="1:19" ht="13.5" thickTop="1" x14ac:dyDescent="0.2">
      <c r="A5" s="29" t="s">
        <v>31</v>
      </c>
      <c r="B5" s="23"/>
      <c r="C5" s="30">
        <v>-9.5</v>
      </c>
      <c r="D5" s="23" t="s">
        <v>32</v>
      </c>
      <c r="E5" s="23"/>
    </row>
    <row r="6" spans="1:19" x14ac:dyDescent="0.2">
      <c r="A6" s="6" t="s">
        <v>1</v>
      </c>
    </row>
    <row r="7" spans="1:19" x14ac:dyDescent="0.2">
      <c r="A7" t="s">
        <v>2</v>
      </c>
      <c r="C7" s="14">
        <v>56055.614999999998</v>
      </c>
    </row>
    <row r="8" spans="1:19" x14ac:dyDescent="0.2">
      <c r="A8" t="s">
        <v>3</v>
      </c>
      <c r="C8" s="14">
        <v>1.96505</v>
      </c>
    </row>
    <row r="9" spans="1:19" x14ac:dyDescent="0.2">
      <c r="A9" s="21" t="s">
        <v>28</v>
      </c>
      <c r="B9" s="21"/>
      <c r="C9" s="22">
        <v>21</v>
      </c>
      <c r="D9" s="22">
        <v>21</v>
      </c>
    </row>
    <row r="10" spans="1:19" ht="13.5" thickBot="1" x14ac:dyDescent="0.25">
      <c r="A10" s="23"/>
      <c r="B10" s="23"/>
      <c r="C10" s="5" t="s">
        <v>18</v>
      </c>
      <c r="D10" s="5" t="s">
        <v>19</v>
      </c>
    </row>
    <row r="11" spans="1:19" x14ac:dyDescent="0.2">
      <c r="A11" s="23" t="s">
        <v>13</v>
      </c>
      <c r="B11" s="23"/>
      <c r="C11" s="24" t="e">
        <f ca="1">INTERCEPT(INDIRECT(C14):R$935,INDIRECT(C13):$F$935)</f>
        <v>#DIV/0!</v>
      </c>
      <c r="D11" s="24" t="e">
        <f ca="1">INTERCEPT(INDIRECT(D14):S$935,INDIRECT(D13):$F$935)</f>
        <v>#DIV/0!</v>
      </c>
      <c r="E11" s="21" t="s">
        <v>34</v>
      </c>
      <c r="F11">
        <v>1</v>
      </c>
    </row>
    <row r="12" spans="1:19" x14ac:dyDescent="0.2">
      <c r="A12" s="23" t="s">
        <v>14</v>
      </c>
      <c r="B12" s="23"/>
      <c r="C12" s="24" t="e">
        <f ca="1">SLOPE(INDIRECT(C14):R$935,INDIRECT(C13):$F$935)</f>
        <v>#DIV/0!</v>
      </c>
      <c r="D12" s="24" t="e">
        <f ca="1">SLOPE(INDIRECT(D14):S$935,INDIRECT(D13):$F$935)</f>
        <v>#DIV/0!</v>
      </c>
      <c r="E12" s="21" t="s">
        <v>35</v>
      </c>
      <c r="F12" s="31">
        <f ca="1">NOW()+15018.5+$C$5/24</f>
        <v>60328.731671412032</v>
      </c>
    </row>
    <row r="13" spans="1:19" x14ac:dyDescent="0.2">
      <c r="A13" s="21" t="s">
        <v>29</v>
      </c>
      <c r="B13" s="21"/>
      <c r="C13" s="22" t="str">
        <f>"F"&amp;C9</f>
        <v>F21</v>
      </c>
      <c r="D13" s="22" t="str">
        <f>"F"&amp;D9</f>
        <v>F21</v>
      </c>
      <c r="E13" s="21" t="s">
        <v>36</v>
      </c>
      <c r="F13" s="31">
        <f ca="1">ROUND(2*(F12-$C$7)/$C$8,0)/2+F11</f>
        <v>2175.5</v>
      </c>
    </row>
    <row r="14" spans="1:19" x14ac:dyDescent="0.2">
      <c r="A14" s="21" t="s">
        <v>30</v>
      </c>
      <c r="B14" s="21"/>
      <c r="C14" s="22" t="str">
        <f>"R"&amp;C9</f>
        <v>R21</v>
      </c>
      <c r="D14" s="22" t="str">
        <f>"S"&amp;D9</f>
        <v>S21</v>
      </c>
      <c r="E14" s="21" t="s">
        <v>37</v>
      </c>
      <c r="F14" s="32" t="e">
        <f ca="1">ROUND(2*(F12-$C$15)/$C$16,0)/2+F11</f>
        <v>#DIV/0!</v>
      </c>
    </row>
    <row r="15" spans="1:19" x14ac:dyDescent="0.2">
      <c r="A15" s="25" t="s">
        <v>15</v>
      </c>
      <c r="B15" s="23"/>
      <c r="C15" s="26" t="e">
        <f ca="1">($C7+C11)+($C8+C12)*INT(MAX($F21:$F3533))</f>
        <v>#DIV/0!</v>
      </c>
      <c r="D15" s="26" t="e">
        <f ca="1">($C7+D11)+($C8+D12)*INT(MAX($F21:$F3533))</f>
        <v>#DIV/0!</v>
      </c>
      <c r="E15" s="21" t="s">
        <v>38</v>
      </c>
      <c r="F15" s="33" t="e">
        <f ca="1">+$C$15+$C$16*F14-15018.5-$C$5/24</f>
        <v>#DIV/0!</v>
      </c>
    </row>
    <row r="16" spans="1:19" x14ac:dyDescent="0.2">
      <c r="A16" s="27" t="s">
        <v>4</v>
      </c>
      <c r="B16" s="23"/>
      <c r="C16" s="28" t="e">
        <f ca="1">+$C8+C12</f>
        <v>#DIV/0!</v>
      </c>
      <c r="D16" s="24" t="e">
        <f ca="1">+$C8+D12</f>
        <v>#DIV/0!</v>
      </c>
      <c r="E16" s="34"/>
      <c r="F16" s="34" t="s">
        <v>33</v>
      </c>
    </row>
    <row r="17" spans="1:19" ht="13.5" thickBot="1" x14ac:dyDescent="0.25">
      <c r="A17" s="20" t="s">
        <v>27</v>
      </c>
      <c r="C17">
        <f>COUNT(C21:C1247)</f>
        <v>2</v>
      </c>
    </row>
    <row r="18" spans="1:19" ht="14.25" thickTop="1" thickBot="1" x14ac:dyDescent="0.25">
      <c r="A18" s="6" t="s">
        <v>21</v>
      </c>
      <c r="C18" s="3">
        <v>56055.616000000002</v>
      </c>
      <c r="D18" s="4">
        <v>1.96505</v>
      </c>
      <c r="E18" s="35">
        <f>R19</f>
        <v>1</v>
      </c>
    </row>
    <row r="19" spans="1:19" ht="14.25" thickTop="1" thickBot="1" x14ac:dyDescent="0.25">
      <c r="A19" s="6" t="s">
        <v>22</v>
      </c>
      <c r="C19" s="3">
        <v>56056.593999999997</v>
      </c>
      <c r="D19" s="4">
        <v>1.96505</v>
      </c>
      <c r="E19" s="35">
        <f>S19</f>
        <v>1</v>
      </c>
      <c r="R19">
        <f>COUNT(R21:R322)</f>
        <v>1</v>
      </c>
      <c r="S19">
        <f>COUNT(S21:S322)</f>
        <v>1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39</v>
      </c>
      <c r="I20" s="8" t="s">
        <v>40</v>
      </c>
      <c r="J20" s="8" t="s">
        <v>41</v>
      </c>
      <c r="K20" s="8" t="s">
        <v>42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s="49" t="s">
        <v>48</v>
      </c>
      <c r="B21" s="50" t="s">
        <v>49</v>
      </c>
      <c r="C21" s="51">
        <v>56055.616000000002</v>
      </c>
      <c r="D21" s="51">
        <v>8.9999999999999993E-3</v>
      </c>
      <c r="E21">
        <f>+(C21-C$7)/C$8</f>
        <v>5.0889290544347762E-4</v>
      </c>
      <c r="F21">
        <f>ROUND(2*E21,0)/2</f>
        <v>0</v>
      </c>
      <c r="G21">
        <f>+C21-(C$7+F21*C$8)</f>
        <v>1.0000000038417056E-3</v>
      </c>
      <c r="I21">
        <f>+G21</f>
        <v>1.0000000038417056E-3</v>
      </c>
      <c r="O21" t="e">
        <f ca="1">+C$11+C$12*$F21</f>
        <v>#DIV/0!</v>
      </c>
      <c r="P21" t="e">
        <f ca="1">+D$11+D$12*$F21</f>
        <v>#DIV/0!</v>
      </c>
      <c r="Q21" s="2">
        <f>+C21-15018.5</f>
        <v>41037.116000000002</v>
      </c>
      <c r="R21">
        <f>G21</f>
        <v>1.0000000038417056E-3</v>
      </c>
    </row>
    <row r="22" spans="1:19" x14ac:dyDescent="0.2">
      <c r="A22" s="49" t="s">
        <v>48</v>
      </c>
      <c r="B22" s="50" t="s">
        <v>50</v>
      </c>
      <c r="C22" s="51">
        <v>56056.593999999997</v>
      </c>
      <c r="D22" s="51">
        <v>7.0000000000000001E-3</v>
      </c>
      <c r="E22">
        <f>+(C22-C$7)/C$8</f>
        <v>0.49820615251487738</v>
      </c>
      <c r="F22">
        <f>ROUND(2*E22,0)/2</f>
        <v>0.5</v>
      </c>
      <c r="G22">
        <f>+C22-(C$7+F22*C$8)</f>
        <v>-3.5250000000814907E-3</v>
      </c>
      <c r="I22">
        <f>+G22</f>
        <v>-3.5250000000814907E-3</v>
      </c>
      <c r="O22" t="e">
        <f ca="1">+C$11+C$12*$F22</f>
        <v>#DIV/0!</v>
      </c>
      <c r="P22" t="e">
        <f ca="1">+D$11+D$12*$F22</f>
        <v>#DIV/0!</v>
      </c>
      <c r="Q22" s="2">
        <f>+C22-15018.5</f>
        <v>41038.093999999997</v>
      </c>
      <c r="S22">
        <f>G22</f>
        <v>-3.5250000000814907E-3</v>
      </c>
    </row>
    <row r="23" spans="1:19" x14ac:dyDescent="0.2">
      <c r="A23" s="10"/>
      <c r="B23" s="10"/>
      <c r="C23" s="11"/>
      <c r="D23" s="11"/>
      <c r="Q23" s="2"/>
    </row>
    <row r="24" spans="1:19" x14ac:dyDescent="0.2">
      <c r="A24" s="12"/>
      <c r="B24" s="13"/>
      <c r="C24" s="11"/>
      <c r="D24" s="14"/>
      <c r="Q24" s="2"/>
    </row>
    <row r="25" spans="1:19" x14ac:dyDescent="0.2">
      <c r="A25" s="12"/>
      <c r="B25" s="13"/>
      <c r="C25" s="11"/>
      <c r="D25" s="14"/>
      <c r="Q25" s="2"/>
    </row>
    <row r="26" spans="1:19" x14ac:dyDescent="0.2">
      <c r="A26" s="12"/>
      <c r="B26" s="13"/>
      <c r="C26" s="11"/>
      <c r="D26" s="14"/>
      <c r="Q26" s="2"/>
    </row>
    <row r="27" spans="1:19" x14ac:dyDescent="0.2">
      <c r="A27" s="10"/>
      <c r="B27" s="10"/>
      <c r="C27" s="11"/>
      <c r="D27" s="11"/>
      <c r="Q27" s="2"/>
    </row>
    <row r="28" spans="1:19" x14ac:dyDescent="0.2">
      <c r="A28" s="10"/>
      <c r="B28" s="10"/>
      <c r="C28" s="11"/>
      <c r="D28" s="11"/>
      <c r="Q28" s="2"/>
    </row>
    <row r="29" spans="1:19" x14ac:dyDescent="0.2">
      <c r="A29" s="15"/>
      <c r="B29" s="16"/>
      <c r="C29" s="17"/>
      <c r="D29" s="17"/>
      <c r="Q29" s="2"/>
    </row>
    <row r="30" spans="1:19" x14ac:dyDescent="0.2">
      <c r="A30" s="12"/>
      <c r="B30" s="13"/>
      <c r="C30" s="11"/>
      <c r="D30" s="14"/>
      <c r="Q30" s="2"/>
    </row>
    <row r="31" spans="1:19" x14ac:dyDescent="0.2">
      <c r="A31" s="15"/>
      <c r="B31" s="18"/>
      <c r="C31" s="11"/>
      <c r="D31" s="11"/>
      <c r="Q31" s="2"/>
    </row>
    <row r="32" spans="1:19" x14ac:dyDescent="0.2">
      <c r="A32" s="15"/>
      <c r="B32" s="18"/>
      <c r="C32" s="11"/>
      <c r="D32" s="11"/>
      <c r="Q32" s="2"/>
    </row>
    <row r="33" spans="1:17" x14ac:dyDescent="0.2">
      <c r="A33" s="19"/>
      <c r="B33" s="13"/>
      <c r="C33" s="11"/>
      <c r="D33" s="14"/>
      <c r="Q33" s="2"/>
    </row>
    <row r="34" spans="1:17" x14ac:dyDescent="0.2">
      <c r="A34" s="19"/>
      <c r="B34" s="13"/>
      <c r="C34" s="11"/>
      <c r="D34" s="14"/>
      <c r="Q34" s="2"/>
    </row>
    <row r="35" spans="1:17" x14ac:dyDescent="0.2">
      <c r="A35" s="19"/>
      <c r="B35" s="13"/>
      <c r="C35" s="11"/>
      <c r="D35" s="14"/>
      <c r="Q35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G41" sqref="G41:H48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2024-01-19T04:33:36Z</dcterms:modified>
</cp:coreProperties>
</file>