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4BFF739-9772-48A6-A739-80A395328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C21" i="1"/>
  <c r="E21" i="1"/>
  <c r="F21" i="1"/>
  <c r="E24" i="1"/>
  <c r="F24" i="1"/>
  <c r="D9" i="1"/>
  <c r="C9" i="1"/>
  <c r="Q22" i="1"/>
  <c r="Q23" i="1"/>
  <c r="Q30" i="1"/>
  <c r="Q31" i="1"/>
  <c r="G18" i="2"/>
  <c r="C18" i="2"/>
  <c r="G17" i="2"/>
  <c r="C17" i="2"/>
  <c r="G16" i="2"/>
  <c r="C16" i="2"/>
  <c r="G22" i="2"/>
  <c r="C22" i="2"/>
  <c r="G21" i="2"/>
  <c r="C21" i="2"/>
  <c r="G15" i="2"/>
  <c r="C15" i="2"/>
  <c r="G14" i="2"/>
  <c r="C14" i="2"/>
  <c r="G13" i="2"/>
  <c r="C13" i="2"/>
  <c r="G12" i="2"/>
  <c r="C12" i="2"/>
  <c r="G11" i="2"/>
  <c r="C11" i="2"/>
  <c r="E11" i="2"/>
  <c r="G20" i="2"/>
  <c r="C20" i="2"/>
  <c r="G19" i="2"/>
  <c r="C19" i="2"/>
  <c r="H18" i="2"/>
  <c r="B18" i="2"/>
  <c r="D18" i="2"/>
  <c r="A18" i="2"/>
  <c r="H17" i="2"/>
  <c r="D17" i="2"/>
  <c r="B17" i="2"/>
  <c r="A17" i="2"/>
  <c r="H16" i="2"/>
  <c r="B16" i="2"/>
  <c r="D16" i="2"/>
  <c r="A16" i="2"/>
  <c r="H22" i="2"/>
  <c r="D22" i="2"/>
  <c r="B22" i="2"/>
  <c r="A22" i="2"/>
  <c r="H21" i="2"/>
  <c r="B21" i="2"/>
  <c r="D21" i="2"/>
  <c r="A2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20" i="2"/>
  <c r="B20" i="2"/>
  <c r="D20" i="2"/>
  <c r="A20" i="2"/>
  <c r="H19" i="2"/>
  <c r="D19" i="2"/>
  <c r="B19" i="2"/>
  <c r="A19" i="2"/>
  <c r="F16" i="1"/>
  <c r="F17" i="1" s="1"/>
  <c r="C17" i="1"/>
  <c r="Q32" i="1"/>
  <c r="Q34" i="1"/>
  <c r="Q33" i="1"/>
  <c r="Q24" i="1"/>
  <c r="Q29" i="1"/>
  <c r="Q28" i="1"/>
  <c r="Q25" i="1"/>
  <c r="Q27" i="1"/>
  <c r="Q26" i="1"/>
  <c r="C7" i="1"/>
  <c r="E30" i="1"/>
  <c r="F30" i="1"/>
  <c r="C8" i="1"/>
  <c r="E31" i="1"/>
  <c r="F31" i="1"/>
  <c r="Q21" i="1"/>
  <c r="E14" i="2"/>
  <c r="E22" i="2"/>
  <c r="E13" i="2"/>
  <c r="E17" i="2"/>
  <c r="G21" i="1"/>
  <c r="E21" i="2"/>
  <c r="E12" i="2"/>
  <c r="G34" i="1"/>
  <c r="K34" i="1"/>
  <c r="E33" i="1"/>
  <c r="F33" i="1"/>
  <c r="E27" i="1"/>
  <c r="F27" i="1"/>
  <c r="G27" i="1"/>
  <c r="K27" i="1"/>
  <c r="G31" i="1"/>
  <c r="K31" i="1"/>
  <c r="E23" i="1"/>
  <c r="F23" i="1"/>
  <c r="G23" i="1"/>
  <c r="K23" i="1"/>
  <c r="E34" i="1"/>
  <c r="F34" i="1"/>
  <c r="G25" i="1"/>
  <c r="K25" i="1"/>
  <c r="E28" i="1"/>
  <c r="F28" i="1"/>
  <c r="G28" i="1"/>
  <c r="J28" i="1"/>
  <c r="E29" i="1"/>
  <c r="F29" i="1"/>
  <c r="E25" i="1"/>
  <c r="F25" i="1"/>
  <c r="G30" i="1"/>
  <c r="K30" i="1"/>
  <c r="G24" i="1"/>
  <c r="K24" i="1"/>
  <c r="E32" i="1"/>
  <c r="F32" i="1"/>
  <c r="G32" i="1"/>
  <c r="J32" i="1"/>
  <c r="E22" i="1"/>
  <c r="F22" i="1"/>
  <c r="G22" i="1"/>
  <c r="I22" i="1"/>
  <c r="G33" i="1"/>
  <c r="K33" i="1"/>
  <c r="E26" i="1"/>
  <c r="F26" i="1"/>
  <c r="G26" i="1"/>
  <c r="J26" i="1"/>
  <c r="E15" i="2"/>
  <c r="H21" i="1"/>
  <c r="E20" i="2"/>
  <c r="E16" i="2"/>
  <c r="E18" i="2"/>
  <c r="E19" i="2"/>
  <c r="C12" i="1"/>
  <c r="C11" i="1"/>
  <c r="O35" i="1" l="1"/>
  <c r="O21" i="1"/>
  <c r="O24" i="1"/>
  <c r="O30" i="1"/>
  <c r="O27" i="1"/>
  <c r="O22" i="1"/>
  <c r="O32" i="1"/>
  <c r="O26" i="1"/>
  <c r="O28" i="1"/>
  <c r="O23" i="1"/>
  <c r="O31" i="1"/>
  <c r="C15" i="1"/>
  <c r="O34" i="1"/>
  <c r="O33" i="1"/>
  <c r="O29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<sst xmlns="http://schemas.openxmlformats.org/spreadsheetml/2006/main" count="193" uniqueCount="122">
  <si>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</si>
  <si>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</si>
  <si>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</si>
  <si>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</si>
  <si>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</si>
  <si>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</si>
  <si>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</si>
  <si>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</si>
  <si>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</si>
  <si>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</si>
  <si>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</si>
  <si>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</si>
  <si>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</si>
  <si>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</si>
  <si>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</si>
  <si>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</si>
  <si>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</si>
  <si>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</si>
  <si>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</si>
  <si>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</si>
  <si>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</si>
  <si>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</si>
  <si>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</si>
  <si>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</si>
  <si>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</si>
  <si>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</si>
  <si>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</si>
  <si>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</si>
  <si>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</si>
  <si>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IBVS 5657</t>
  </si>
  <si>
    <t>EA</t>
  </si>
  <si>
    <t>IBVS 5438</t>
  </si>
  <si>
    <t>I</t>
  </si>
  <si>
    <t>IBVS 5653</t>
  </si>
  <si>
    <t>GR Cas / ??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</si>
  <si>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</si>
  <si>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</si>
  <si>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</si>
  <si>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</si>
  <si>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</si>
  <si>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</si>
  <si>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</si>
  <si>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OEJV 0074</t>
  </si>
  <si>
    <t>IBVS 5796</t>
  </si>
  <si>
    <t>IBVS 5960</t>
  </si>
  <si>
    <t>Add cycle</t>
  </si>
  <si>
    <t>Old Cycle</t>
  </si>
  <si>
    <t>IBVS 6010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</si>
  <si>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</si>
  <si>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</si>
  <si>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</si>
  <si>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</si>
  <si>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</si>
  <si>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</si>
  <si>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</si>
  <si>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</si>
  <si>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</si>
  <si>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</si>
  <si>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</si>
  <si>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</si>
  <si>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2451129.335 </t>
  </si>
  <si>
    <t> 11.11.1998 20:02 </t>
  </si>
  <si>
    <t> -0.033 </t>
  </si>
  <si>
    <t>E </t>
  </si>
  <si>
    <t>?</t>
  </si>
  <si>
    <t> R.Diethelm </t>
  </si>
  <si>
    <t> BBS 119 </t>
  </si>
  <si>
    <t>2451603.2894 </t>
  </si>
  <si>
    <t> 28.02.2000 18:56 </t>
  </si>
  <si>
    <t> -0.0351 </t>
  </si>
  <si>
    <t> J.Safar </t>
  </si>
  <si>
    <t> BRNO 32 </t>
  </si>
  <si>
    <t>2451833.46664 </t>
  </si>
  <si>
    <t> 15.10.2000 23:11 </t>
  </si>
  <si>
    <t> -0.03542 </t>
  </si>
  <si>
    <t>C </t>
  </si>
  <si>
    <t>o</t>
  </si>
  <si>
    <t> J.Šafár </t>
  </si>
  <si>
    <t>OEJV 0074 </t>
  </si>
  <si>
    <t>2452535.5073 </t>
  </si>
  <si>
    <t> 18.09.2002 00:10 </t>
  </si>
  <si>
    <t> -0.0363 </t>
  </si>
  <si>
    <t> BBS 129 </t>
  </si>
  <si>
    <t>2453258.4715 </t>
  </si>
  <si>
    <t> 09.09.2004 23:18 </t>
  </si>
  <si>
    <t> -0.0389 </t>
  </si>
  <si>
    <t> Moschner &amp; Frank </t>
  </si>
  <si>
    <t>BAVM 173 </t>
  </si>
  <si>
    <t>2453324.3860 </t>
  </si>
  <si>
    <t> 14.11.2004 21:15 </t>
  </si>
  <si>
    <t> -0.0388 </t>
  </si>
  <si>
    <t>IBVS 5653 </t>
  </si>
  <si>
    <t>2454024.3345 </t>
  </si>
  <si>
    <t> 15.10.2006 20:01 </t>
  </si>
  <si>
    <t> -0.0394 </t>
  </si>
  <si>
    <t>BAVM 186 </t>
  </si>
  <si>
    <t>2454453.3005 </t>
  </si>
  <si>
    <t> 18.12.2007 19:12 </t>
  </si>
  <si>
    <t> -0.0406 </t>
  </si>
  <si>
    <t>BAVM 203 </t>
  </si>
  <si>
    <t>2454751.4811 </t>
  </si>
  <si>
    <t> 11.10.2008 23:32 </t>
  </si>
  <si>
    <t> -0.0446 </t>
  </si>
  <si>
    <t> U.Schmidt </t>
  </si>
  <si>
    <t>2455474.4499 </t>
  </si>
  <si>
    <t> 04.10.2010 22:47 </t>
  </si>
  <si>
    <t> -0.0425 </t>
  </si>
  <si>
    <t> W.Moschner &amp; P.Frank </t>
  </si>
  <si>
    <t>BAVM 220 </t>
  </si>
  <si>
    <t>2455484.9126 </t>
  </si>
  <si>
    <t> 15.10.2010 09:54 </t>
  </si>
  <si>
    <t> -0.0424 </t>
  </si>
  <si>
    <t>IBVS 5960 </t>
  </si>
  <si>
    <t>2455845.8726 </t>
  </si>
  <si>
    <t> 11.10.2011 08:56 </t>
  </si>
  <si>
    <t> -0.0427 </t>
  </si>
  <si>
    <t>IBVS 6011 </t>
  </si>
  <si>
    <t>BAD?</t>
  </si>
  <si>
    <t>vis/CCD</t>
  </si>
  <si>
    <t>CCD?</t>
  </si>
  <si>
    <t>vis / CCD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</si>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</sst>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/>
    </xf>
    <xf numFmtId="165" fontId="21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Cas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B-4D04-9FB3-665BC13B47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-3.3003999997163191E-2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1B-4D04-9FB3-665BC13B47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-3.8860000000568107E-2</c:v>
                </c:pt>
                <c:pt idx="7">
                  <c:v>-3.9351200000965036E-2</c:v>
                </c:pt>
                <c:pt idx="11">
                  <c:v>-4.2528799996944144E-2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1B-4D04-9FB3-665BC13B47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-3.5108799995214213E-2</c:v>
                </c:pt>
                <c:pt idx="3">
                  <c:v>-3.5420799998973962E-2</c:v>
                </c:pt>
                <c:pt idx="4">
                  <c:v>-3.6294400000770111E-2</c:v>
                </c:pt>
                <c:pt idx="6">
                  <c:v>-3.8840799999888986E-2</c:v>
                </c:pt>
                <c:pt idx="9">
                  <c:v>-4.0607200004160404E-2</c:v>
                </c:pt>
                <c:pt idx="10">
                  <c:v>-4.4563199997355696E-2</c:v>
                </c:pt>
                <c:pt idx="12">
                  <c:v>-4.2444799990335014E-2</c:v>
                </c:pt>
                <c:pt idx="13">
                  <c:v>-4.269679999561049E-2</c:v>
                </c:pt>
                <c:pt idx="14">
                  <c:v>-5.1267199996800628E-2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1B-4D04-9FB3-665BC13B47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1B-4D04-9FB3-665BC13B47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1B-4D04-9FB3-665BC13B47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1B-4D04-9FB3-665BC13B47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-1.4200866408011631E-4</c:v>
                </c:pt>
                <c:pt idx="1">
                  <c:v>-3.3741343325039148E-2</c:v>
                </c:pt>
                <c:pt idx="2">
                  <c:v>-3.475166517046991E-2</c:v>
                </c:pt>
                <c:pt idx="3">
                  <c:v>-3.5242329201363436E-2</c:v>
                </c:pt>
                <c:pt idx="4">
                  <c:v>-3.6738854495588696E-2</c:v>
                </c:pt>
                <c:pt idx="5">
                  <c:v>-3.8279985610804271E-2</c:v>
                </c:pt>
                <c:pt idx="6">
                  <c:v>-3.8420493946923782E-2</c:v>
                </c:pt>
                <c:pt idx="7">
                  <c:v>-3.991255865905001E-2</c:v>
                </c:pt>
                <c:pt idx="8">
                  <c:v>-4.0130012036377817E-2</c:v>
                </c:pt>
                <c:pt idx="9">
                  <c:v>-4.082697798935158E-2</c:v>
                </c:pt>
                <c:pt idx="10">
                  <c:v>-4.1462610938463651E-2</c:v>
                </c:pt>
                <c:pt idx="11">
                  <c:v>-4.3003742053679225E-2</c:v>
                </c:pt>
                <c:pt idx="12">
                  <c:v>-4.3026044964174386E-2</c:v>
                </c:pt>
                <c:pt idx="13">
                  <c:v>-4.3795495376257418E-2</c:v>
                </c:pt>
                <c:pt idx="14">
                  <c:v>-5.1643889579504339E-2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1B-4D04-9FB3-665BC13B47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8">
                  <c:v>0.12054280000302242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1B-4D04-9FB3-665BC13B4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796072"/>
        <c:axId val="1"/>
      </c:scatterChart>
      <c:valAx>
        <c:axId val="596796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96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85962033421104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Cas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1-4CCB-B2CF-2645A24A90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-3.3003999997163191E-2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1-4CCB-B2CF-2645A24A90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-3.8860000000568107E-2</c:v>
                </c:pt>
                <c:pt idx="7">
                  <c:v>-3.9351200000965036E-2</c:v>
                </c:pt>
                <c:pt idx="11">
                  <c:v>-4.2528799996944144E-2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81-4CCB-B2CF-2645A24A90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-3.5108799995214213E-2</c:v>
                </c:pt>
                <c:pt idx="3">
                  <c:v>-3.5420799998973962E-2</c:v>
                </c:pt>
                <c:pt idx="4">
                  <c:v>-3.6294400000770111E-2</c:v>
                </c:pt>
                <c:pt idx="6">
                  <c:v>-3.8840799999888986E-2</c:v>
                </c:pt>
                <c:pt idx="9">
                  <c:v>-4.0607200004160404E-2</c:v>
                </c:pt>
                <c:pt idx="10">
                  <c:v>-4.4563199997355696E-2</c:v>
                </c:pt>
                <c:pt idx="12">
                  <c:v>-4.2444799990335014E-2</c:v>
                </c:pt>
                <c:pt idx="13">
                  <c:v>-4.269679999561049E-2</c:v>
                </c:pt>
                <c:pt idx="14">
                  <c:v>-5.1267199996800628E-2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81-4CCB-B2CF-2645A24A900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81-4CCB-B2CF-2645A24A90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81-4CCB-B2CF-2645A24A90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1.1000000000000001E-3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81-4CCB-B2CF-2645A24A90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-1.4200866408011631E-4</c:v>
                </c:pt>
                <c:pt idx="1">
                  <c:v>-3.3741343325039148E-2</c:v>
                </c:pt>
                <c:pt idx="2">
                  <c:v>-3.475166517046991E-2</c:v>
                </c:pt>
                <c:pt idx="3">
                  <c:v>-3.5242329201363436E-2</c:v>
                </c:pt>
                <c:pt idx="4">
                  <c:v>-3.6738854495588696E-2</c:v>
                </c:pt>
                <c:pt idx="5">
                  <c:v>-3.8279985610804271E-2</c:v>
                </c:pt>
                <c:pt idx="6">
                  <c:v>-3.8420493946923782E-2</c:v>
                </c:pt>
                <c:pt idx="7">
                  <c:v>-3.991255865905001E-2</c:v>
                </c:pt>
                <c:pt idx="8">
                  <c:v>-4.0130012036377817E-2</c:v>
                </c:pt>
                <c:pt idx="9">
                  <c:v>-4.082697798935158E-2</c:v>
                </c:pt>
                <c:pt idx="10">
                  <c:v>-4.1462610938463651E-2</c:v>
                </c:pt>
                <c:pt idx="11">
                  <c:v>-4.3003742053679225E-2</c:v>
                </c:pt>
                <c:pt idx="12">
                  <c:v>-4.3026044964174386E-2</c:v>
                </c:pt>
                <c:pt idx="13">
                  <c:v>-4.3795495376257418E-2</c:v>
                </c:pt>
                <c:pt idx="14">
                  <c:v>-5.1643889579504339E-2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81-4CCB-B2CF-2645A24A900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15065</c:v>
                </c:pt>
                <c:pt idx="2">
                  <c:v>15518</c:v>
                </c:pt>
                <c:pt idx="3">
                  <c:v>15738</c:v>
                </c:pt>
                <c:pt idx="4">
                  <c:v>16409</c:v>
                </c:pt>
                <c:pt idx="5">
                  <c:v>17100</c:v>
                </c:pt>
                <c:pt idx="6">
                  <c:v>17163</c:v>
                </c:pt>
                <c:pt idx="7">
                  <c:v>17832</c:v>
                </c:pt>
                <c:pt idx="8">
                  <c:v>17929.5</c:v>
                </c:pt>
                <c:pt idx="9">
                  <c:v>18242</c:v>
                </c:pt>
                <c:pt idx="10">
                  <c:v>18527</c:v>
                </c:pt>
                <c:pt idx="11">
                  <c:v>19218</c:v>
                </c:pt>
                <c:pt idx="12">
                  <c:v>19228</c:v>
                </c:pt>
                <c:pt idx="13">
                  <c:v>19573</c:v>
                </c:pt>
                <c:pt idx="14">
                  <c:v>23092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8">
                  <c:v>0.12054280000302242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81-4CCB-B2CF-2645A24A9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765240"/>
        <c:axId val="1"/>
      </c:scatterChart>
      <c:valAx>
        <c:axId val="596765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65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2097264437689974"/>
          <c:w val="0.7758064516129031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238125</xdr:colOff>
      <xdr:row>18</xdr:row>
      <xdr:rowOff>9525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0B1BCFD4-B160-3010-7784-5D1F56B9F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0</xdr:row>
      <xdr:rowOff>1</xdr:rowOff>
    </xdr:from>
    <xdr:to>
      <xdr:col>27</xdr:col>
      <xdr:colOff>228600</xdr:colOff>
      <xdr:row>18</xdr:row>
      <xdr:rowOff>19051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E2305C61-B72F-3416-979D-AE1E4B32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bav-astro.de/sfs/BAVM_link.php?BAVMnr=186" TargetMode="External"/><Relationship Id="rId10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konkoly.hu/cgi-bin/IBVS?5653" TargetMode="External"/><Relationship Id="rId9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6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24</v>
      </c>
      <c r="B2" t="s">
        <v>30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35367.436999999998</v>
      </c>
      <c r="D4" s="9">
        <v>1.0462616</v>
      </c>
    </row>
    <row r="5" spans="1:6" ht="13.5" thickTop="1" x14ac:dyDescent="0.2">
      <c r="A5" s="15" t="s">
        <v>35</v>
      </c>
      <c r="B5" s="13"/>
      <c r="C5" s="16">
        <v>-9.5</v>
      </c>
      <c r="D5" s="13" t="s">
        <v>36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35367.436999999998</v>
      </c>
    </row>
    <row r="8" spans="1:6" x14ac:dyDescent="0.2">
      <c r="A8" t="s">
        <v>3</v>
      </c>
      <c r="C8">
        <f>+D4</f>
        <v>1.0462616</v>
      </c>
    </row>
    <row r="9" spans="1:6" x14ac:dyDescent="0.2">
      <c r="A9" s="29" t="s">
        <v>41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A10" s="13"/>
      <c r="B10" s="13"/>
      <c r="C10" s="4" t="s">
        <v>20</v>
      </c>
      <c r="D10" s="4" t="s">
        <v>21</v>
      </c>
      <c r="E10" s="13"/>
    </row>
    <row r="11" spans="1:6" x14ac:dyDescent="0.2">
      <c r="A11" s="13" t="s">
        <v>16</v>
      </c>
      <c r="B11" s="13"/>
      <c r="C11" s="17">
        <f ca="1">INTERCEPT(INDIRECT($D$9):G992,INDIRECT($C$9):F992)</f>
        <v>-1.4200866408011631E-4</v>
      </c>
      <c r="D11" s="3"/>
      <c r="E11" s="13"/>
    </row>
    <row r="12" spans="1:6" x14ac:dyDescent="0.2">
      <c r="A12" s="13" t="s">
        <v>17</v>
      </c>
      <c r="B12" s="13"/>
      <c r="C12" s="17">
        <f ca="1">SLOPE(INDIRECT($D$9):G992,INDIRECT($C$9):F992)</f>
        <v>-2.2302910495160325E-6</v>
      </c>
      <c r="D12" s="3"/>
      <c r="E12" s="13"/>
    </row>
    <row r="13" spans="1:6" x14ac:dyDescent="0.2">
      <c r="A13" s="13" t="s">
        <v>19</v>
      </c>
      <c r="B13" s="13"/>
      <c r="C13" s="3" t="s">
        <v>14</v>
      </c>
    </row>
    <row r="14" spans="1:6" x14ac:dyDescent="0.2">
      <c r="A14" s="13"/>
      <c r="B14" s="13"/>
      <c r="C14" s="13"/>
    </row>
    <row r="15" spans="1:6" x14ac:dyDescent="0.2">
      <c r="A15" s="20" t="s">
        <v>18</v>
      </c>
      <c r="B15" s="13"/>
      <c r="C15" s="21">
        <f ca="1">(C7+C11)+(C8+C12)*INT(MAX(F21:F3533))</f>
        <v>59527.658223310413</v>
      </c>
      <c r="E15" s="22" t="s">
        <v>45</v>
      </c>
      <c r="F15" s="16">
        <v>1</v>
      </c>
    </row>
    <row r="16" spans="1:6" x14ac:dyDescent="0.2">
      <c r="A16" s="24" t="s">
        <v>4</v>
      </c>
      <c r="B16" s="13"/>
      <c r="C16" s="25">
        <f ca="1">+C8+C12</f>
        <v>1.0462593697089504</v>
      </c>
      <c r="E16" s="22" t="s">
        <v>37</v>
      </c>
      <c r="F16" s="23">
        <f ca="1">NOW()+15018.5+$C$5/24</f>
        <v>60328.734166666662</v>
      </c>
    </row>
    <row r="17" spans="1:21" ht="13.5" thickBot="1" x14ac:dyDescent="0.25">
      <c r="A17" s="22" t="s">
        <v>28</v>
      </c>
      <c r="B17" s="13"/>
      <c r="C17" s="13">
        <f>COUNT(C21:C2191)</f>
        <v>15</v>
      </c>
      <c r="E17" s="22" t="s">
        <v>46</v>
      </c>
      <c r="F17" s="23">
        <f ca="1">ROUND(2*(F16-$C$7)/$C$8,0)/2+F15</f>
        <v>23858.5</v>
      </c>
    </row>
    <row r="18" spans="1:21" ht="14.25" thickTop="1" thickBot="1" x14ac:dyDescent="0.25">
      <c r="A18" s="24" t="s">
        <v>5</v>
      </c>
      <c r="B18" s="13"/>
      <c r="C18" s="27">
        <f ca="1">+C15</f>
        <v>59527.658223310413</v>
      </c>
      <c r="D18" s="28">
        <f ca="1">+C16</f>
        <v>1.0462593697089504</v>
      </c>
      <c r="E18" s="22" t="s">
        <v>38</v>
      </c>
      <c r="F18" s="19">
        <f ca="1">ROUND(2*(F16-$C$15)/$C$16,0)/2+F15</f>
        <v>766.5</v>
      </c>
    </row>
    <row r="19" spans="1:21" ht="13.5" thickTop="1" x14ac:dyDescent="0.2">
      <c r="E19" s="22" t="s">
        <v>39</v>
      </c>
      <c r="F19" s="26">
        <f ca="1">+$C$15+$C$16*F18-15018.5-$C$5/24</f>
        <v>45311.511863525659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6" t="s">
        <v>117</v>
      </c>
    </row>
    <row r="21" spans="1:21" x14ac:dyDescent="0.2">
      <c r="A21" t="s">
        <v>12</v>
      </c>
      <c r="C21" s="14">
        <f>+C4</f>
        <v>35367.436999999998</v>
      </c>
      <c r="D21" s="14" t="s">
        <v>14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34" ca="1" si="3">+C$11+C$12*$F21</f>
        <v>-1.4200866408011631E-4</v>
      </c>
      <c r="Q21" s="2">
        <f t="shared" ref="Q21:Q34" si="4">+C21-15018.5</f>
        <v>20348.936999999998</v>
      </c>
    </row>
    <row r="22" spans="1:21" x14ac:dyDescent="0.2">
      <c r="A22" s="52" t="s">
        <v>66</v>
      </c>
      <c r="B22" s="54" t="s">
        <v>32</v>
      </c>
      <c r="C22" s="52">
        <v>51129.334999999999</v>
      </c>
      <c r="D22" s="52" t="s">
        <v>59</v>
      </c>
      <c r="E22">
        <f t="shared" si="0"/>
        <v>15064.968455307928</v>
      </c>
      <c r="F22">
        <f t="shared" si="1"/>
        <v>15065</v>
      </c>
      <c r="G22">
        <f t="shared" si="2"/>
        <v>-3.3003999997163191E-2</v>
      </c>
      <c r="I22">
        <f>+G22</f>
        <v>-3.3003999997163191E-2</v>
      </c>
      <c r="O22">
        <f t="shared" ca="1" si="3"/>
        <v>-3.3741343325039148E-2</v>
      </c>
      <c r="Q22" s="2">
        <f t="shared" si="4"/>
        <v>36110.834999999999</v>
      </c>
    </row>
    <row r="23" spans="1:21" x14ac:dyDescent="0.2">
      <c r="A23" s="53" t="s">
        <v>71</v>
      </c>
      <c r="B23" s="55" t="s">
        <v>32</v>
      </c>
      <c r="C23" s="53">
        <v>51603.289400000001</v>
      </c>
      <c r="D23" s="53" t="s">
        <v>59</v>
      </c>
      <c r="E23">
        <f t="shared" si="0"/>
        <v>15517.966443573961</v>
      </c>
      <c r="F23">
        <f t="shared" si="1"/>
        <v>15518</v>
      </c>
      <c r="G23">
        <f t="shared" si="2"/>
        <v>-3.5108799995214213E-2</v>
      </c>
      <c r="K23">
        <f>+G23</f>
        <v>-3.5108799995214213E-2</v>
      </c>
      <c r="O23">
        <f t="shared" ca="1" si="3"/>
        <v>-3.475166517046991E-2</v>
      </c>
      <c r="Q23" s="2">
        <f t="shared" si="4"/>
        <v>36584.789400000001</v>
      </c>
    </row>
    <row r="24" spans="1:21" x14ac:dyDescent="0.2">
      <c r="A24" s="12" t="s">
        <v>42</v>
      </c>
      <c r="B24" s="11" t="s">
        <v>32</v>
      </c>
      <c r="C24" s="12">
        <v>51833.466639999999</v>
      </c>
      <c r="D24" s="12">
        <v>1E-3</v>
      </c>
      <c r="E24">
        <f t="shared" si="0"/>
        <v>15737.966145369381</v>
      </c>
      <c r="F24">
        <f t="shared" si="1"/>
        <v>15738</v>
      </c>
      <c r="G24">
        <f t="shared" si="2"/>
        <v>-3.5420799998973962E-2</v>
      </c>
      <c r="K24">
        <f>+G24</f>
        <v>-3.5420799998973962E-2</v>
      </c>
      <c r="O24">
        <f t="shared" ca="1" si="3"/>
        <v>-3.5242329201363436E-2</v>
      </c>
      <c r="Q24" s="2">
        <f t="shared" si="4"/>
        <v>36814.966639999999</v>
      </c>
      <c r="R24" t="s">
        <v>120</v>
      </c>
    </row>
    <row r="25" spans="1:21" x14ac:dyDescent="0.2">
      <c r="A25" s="10" t="s">
        <v>31</v>
      </c>
      <c r="B25" s="11" t="s">
        <v>32</v>
      </c>
      <c r="C25" s="12">
        <v>52535.507299999997</v>
      </c>
      <c r="D25" s="12">
        <v>8.9999999999999998E-4</v>
      </c>
      <c r="E25">
        <f t="shared" si="0"/>
        <v>16408.965310396557</v>
      </c>
      <c r="F25">
        <f t="shared" si="1"/>
        <v>16409</v>
      </c>
      <c r="G25">
        <f t="shared" si="2"/>
        <v>-3.6294400000770111E-2</v>
      </c>
      <c r="K25">
        <f>+G25</f>
        <v>-3.6294400000770111E-2</v>
      </c>
      <c r="O25">
        <f t="shared" ca="1" si="3"/>
        <v>-3.6738854495588696E-2</v>
      </c>
      <c r="Q25" s="2">
        <f t="shared" si="4"/>
        <v>37517.007299999997</v>
      </c>
      <c r="R25" t="s">
        <v>118</v>
      </c>
    </row>
    <row r="26" spans="1:21" x14ac:dyDescent="0.2">
      <c r="A26" s="31" t="s">
        <v>29</v>
      </c>
      <c r="B26" s="32"/>
      <c r="C26" s="12">
        <v>53258.4715</v>
      </c>
      <c r="D26" s="12">
        <v>2.9999999999999997E-4</v>
      </c>
      <c r="E26">
        <f t="shared" si="0"/>
        <v>17099.962858237366</v>
      </c>
      <c r="F26">
        <f t="shared" si="1"/>
        <v>17100</v>
      </c>
      <c r="G26">
        <f t="shared" si="2"/>
        <v>-3.8860000000568107E-2</v>
      </c>
      <c r="J26">
        <f>+G26</f>
        <v>-3.8860000000568107E-2</v>
      </c>
      <c r="O26">
        <f t="shared" ca="1" si="3"/>
        <v>-3.8279985610804271E-2</v>
      </c>
      <c r="Q26" s="2">
        <f t="shared" si="4"/>
        <v>38239.9715</v>
      </c>
      <c r="R26" t="s">
        <v>53</v>
      </c>
    </row>
    <row r="27" spans="1:21" x14ac:dyDescent="0.2">
      <c r="A27" s="10" t="s">
        <v>33</v>
      </c>
      <c r="B27" s="11" t="s">
        <v>32</v>
      </c>
      <c r="C27" s="12">
        <v>53324.385999999999</v>
      </c>
      <c r="D27" s="12">
        <v>2.0000000000000001E-4</v>
      </c>
      <c r="E27">
        <f t="shared" si="0"/>
        <v>17162.962876588419</v>
      </c>
      <c r="F27">
        <f t="shared" si="1"/>
        <v>17163</v>
      </c>
      <c r="G27">
        <f t="shared" si="2"/>
        <v>-3.8840799999888986E-2</v>
      </c>
      <c r="K27">
        <f>+G27</f>
        <v>-3.8840799999888986E-2</v>
      </c>
      <c r="O27">
        <f t="shared" ca="1" si="3"/>
        <v>-3.8420493946923782E-2</v>
      </c>
      <c r="Q27" s="2">
        <f t="shared" si="4"/>
        <v>38305.885999999999</v>
      </c>
      <c r="R27" t="s">
        <v>51</v>
      </c>
    </row>
    <row r="28" spans="1:21" x14ac:dyDescent="0.2">
      <c r="A28" s="12" t="s">
        <v>40</v>
      </c>
      <c r="B28" s="32"/>
      <c r="C28" s="12">
        <v>54024.334499999997</v>
      </c>
      <c r="D28" s="12">
        <v>2.9999999999999997E-4</v>
      </c>
      <c r="E28">
        <f t="shared" si="0"/>
        <v>17831.96238875631</v>
      </c>
      <c r="F28">
        <f t="shared" si="1"/>
        <v>17832</v>
      </c>
      <c r="G28">
        <f t="shared" si="2"/>
        <v>-3.9351200000965036E-2</v>
      </c>
      <c r="J28">
        <f>+G28</f>
        <v>-3.9351200000965036E-2</v>
      </c>
      <c r="O28">
        <f t="shared" ca="1" si="3"/>
        <v>-3.991255865905001E-2</v>
      </c>
      <c r="Q28" s="2">
        <f t="shared" si="4"/>
        <v>39005.834499999997</v>
      </c>
      <c r="R28" t="s">
        <v>53</v>
      </c>
    </row>
    <row r="29" spans="1:21" x14ac:dyDescent="0.2">
      <c r="A29" s="33" t="s">
        <v>43</v>
      </c>
      <c r="B29" s="32" t="s">
        <v>32</v>
      </c>
      <c r="C29" s="33">
        <v>54126.5049</v>
      </c>
      <c r="D29" s="33">
        <v>1.1000000000000001E-3</v>
      </c>
      <c r="E29">
        <f t="shared" si="0"/>
        <v>17929.615212868372</v>
      </c>
      <c r="F29">
        <f t="shared" si="1"/>
        <v>17929.5</v>
      </c>
      <c r="O29">
        <f t="shared" ca="1" si="3"/>
        <v>-4.0130012036377817E-2</v>
      </c>
      <c r="Q29" s="2">
        <f t="shared" si="4"/>
        <v>39108.0049</v>
      </c>
      <c r="R29" t="s">
        <v>51</v>
      </c>
      <c r="U29" s="19">
        <v>0.12054280000302242</v>
      </c>
    </row>
    <row r="30" spans="1:21" x14ac:dyDescent="0.2">
      <c r="A30" s="53" t="s">
        <v>99</v>
      </c>
      <c r="B30" s="55" t="s">
        <v>32</v>
      </c>
      <c r="C30" s="53">
        <v>54453.300499999998</v>
      </c>
      <c r="D30" s="53" t="s">
        <v>59</v>
      </c>
      <c r="E30">
        <f t="shared" si="0"/>
        <v>18241.961188291723</v>
      </c>
      <c r="F30">
        <f t="shared" si="1"/>
        <v>18242</v>
      </c>
      <c r="G30">
        <f t="shared" ref="G30:G35" si="5">+C30-(C$7+F30*C$8)</f>
        <v>-4.0607200004160404E-2</v>
      </c>
      <c r="K30">
        <f>+G30</f>
        <v>-4.0607200004160404E-2</v>
      </c>
      <c r="O30">
        <f t="shared" ca="1" si="3"/>
        <v>-4.082697798935158E-2</v>
      </c>
      <c r="Q30" s="2">
        <f t="shared" si="4"/>
        <v>39434.800499999998</v>
      </c>
    </row>
    <row r="31" spans="1:21" x14ac:dyDescent="0.2">
      <c r="A31" s="53" t="s">
        <v>99</v>
      </c>
      <c r="B31" s="55" t="s">
        <v>32</v>
      </c>
      <c r="C31" s="53">
        <v>54751.481099999997</v>
      </c>
      <c r="D31" s="53" t="s">
        <v>59</v>
      </c>
      <c r="E31">
        <f t="shared" si="0"/>
        <v>18526.957407210586</v>
      </c>
      <c r="F31">
        <f t="shared" si="1"/>
        <v>18527</v>
      </c>
      <c r="G31">
        <f t="shared" si="5"/>
        <v>-4.4563199997355696E-2</v>
      </c>
      <c r="K31">
        <f>+G31</f>
        <v>-4.4563199997355696E-2</v>
      </c>
      <c r="O31">
        <f t="shared" ca="1" si="3"/>
        <v>-4.1462610938463651E-2</v>
      </c>
      <c r="Q31" s="2">
        <f t="shared" si="4"/>
        <v>39732.981099999997</v>
      </c>
    </row>
    <row r="32" spans="1:21" x14ac:dyDescent="0.2">
      <c r="A32" s="37" t="s">
        <v>47</v>
      </c>
      <c r="B32" s="38" t="s">
        <v>32</v>
      </c>
      <c r="C32" s="37">
        <v>55474.4499</v>
      </c>
      <c r="D32" s="59">
        <v>1E-4</v>
      </c>
      <c r="E32">
        <f t="shared" si="0"/>
        <v>19217.95935165737</v>
      </c>
      <c r="F32">
        <f t="shared" si="1"/>
        <v>19218</v>
      </c>
      <c r="G32">
        <f t="shared" si="5"/>
        <v>-4.2528799996944144E-2</v>
      </c>
      <c r="J32">
        <f>+G32</f>
        <v>-4.2528799996944144E-2</v>
      </c>
      <c r="O32">
        <f t="shared" ca="1" si="3"/>
        <v>-4.3003742053679225E-2</v>
      </c>
      <c r="Q32" s="2">
        <f t="shared" si="4"/>
        <v>40455.9499</v>
      </c>
      <c r="R32" t="s">
        <v>53</v>
      </c>
    </row>
    <row r="33" spans="1:18" x14ac:dyDescent="0.2">
      <c r="A33" s="34" t="s">
        <v>44</v>
      </c>
      <c r="B33" s="35" t="s">
        <v>32</v>
      </c>
      <c r="C33" s="36">
        <v>55484.912600000003</v>
      </c>
      <c r="D33" s="36">
        <v>2.0000000000000001E-4</v>
      </c>
      <c r="E33">
        <f t="shared" si="0"/>
        <v>19227.959431943222</v>
      </c>
      <c r="F33">
        <f t="shared" si="1"/>
        <v>19228</v>
      </c>
      <c r="G33">
        <f t="shared" si="5"/>
        <v>-4.2444799990335014E-2</v>
      </c>
      <c r="K33">
        <f>+G33</f>
        <v>-4.2444799990335014E-2</v>
      </c>
      <c r="O33">
        <f t="shared" ca="1" si="3"/>
        <v>-4.3026044964174386E-2</v>
      </c>
      <c r="Q33" s="2">
        <f t="shared" si="4"/>
        <v>40466.412600000003</v>
      </c>
      <c r="R33" t="s">
        <v>119</v>
      </c>
    </row>
    <row r="34" spans="1:18" x14ac:dyDescent="0.2">
      <c r="A34" s="37" t="s">
        <v>48</v>
      </c>
      <c r="B34" s="38" t="s">
        <v>32</v>
      </c>
      <c r="C34" s="37">
        <v>55845.872600000002</v>
      </c>
      <c r="D34" s="37">
        <v>2.9999999999999997E-4</v>
      </c>
      <c r="E34">
        <f t="shared" si="0"/>
        <v>19572.959191085676</v>
      </c>
      <c r="F34">
        <f t="shared" si="1"/>
        <v>19573</v>
      </c>
      <c r="G34">
        <f t="shared" si="5"/>
        <v>-4.269679999561049E-2</v>
      </c>
      <c r="K34">
        <f>+G34</f>
        <v>-4.269679999561049E-2</v>
      </c>
      <c r="O34">
        <f t="shared" ca="1" si="3"/>
        <v>-4.3795495376257418E-2</v>
      </c>
      <c r="Q34" s="2">
        <f t="shared" si="4"/>
        <v>40827.372600000002</v>
      </c>
      <c r="R34" t="s">
        <v>51</v>
      </c>
    </row>
    <row r="35" spans="1:18" ht="12" customHeight="1" x14ac:dyDescent="0.2">
      <c r="A35" s="57" t="s">
        <v>121</v>
      </c>
      <c r="B35" s="58" t="s">
        <v>32</v>
      </c>
      <c r="C35" s="60">
        <v>59527.658600000002</v>
      </c>
      <c r="D35" s="57">
        <v>5.9999999999999995E-4</v>
      </c>
      <c r="E35">
        <f t="shared" ref="E35" si="6">+(C35-C$7)/C$8</f>
        <v>23091.950999635275</v>
      </c>
      <c r="F35">
        <f t="shared" ref="F35" si="7">ROUND(2*E35,0)/2</f>
        <v>23092</v>
      </c>
      <c r="G35">
        <f t="shared" si="5"/>
        <v>-5.1267199996800628E-2</v>
      </c>
      <c r="K35">
        <f>+G35</f>
        <v>-5.1267199996800628E-2</v>
      </c>
      <c r="O35">
        <f t="shared" ref="O35" ca="1" si="8">+C$11+C$12*$F35</f>
        <v>-5.1643889579504339E-2</v>
      </c>
      <c r="Q35" s="2">
        <f t="shared" ref="Q35" si="9">+C35-15018.5</f>
        <v>44509.158600000002</v>
      </c>
      <c r="R35" t="s">
        <v>51</v>
      </c>
    </row>
    <row r="36" spans="1:18" x14ac:dyDescent="0.2">
      <c r="C36" s="14"/>
      <c r="D36" s="14"/>
    </row>
    <row r="37" spans="1:18" x14ac:dyDescent="0.2">
      <c r="C37" s="14"/>
      <c r="D37" s="14"/>
    </row>
    <row r="38" spans="1:18" x14ac:dyDescent="0.2">
      <c r="C38" s="14"/>
      <c r="D38" s="14"/>
    </row>
    <row r="39" spans="1:18" x14ac:dyDescent="0.2">
      <c r="C39" s="14"/>
      <c r="D39" s="14"/>
    </row>
    <row r="40" spans="1:18" x14ac:dyDescent="0.2">
      <c r="C40" s="14"/>
      <c r="D40" s="14"/>
    </row>
    <row r="41" spans="1:18" x14ac:dyDescent="0.2">
      <c r="C41" s="14"/>
      <c r="D41" s="14"/>
    </row>
    <row r="42" spans="1:18" x14ac:dyDescent="0.2">
      <c r="C42" s="14"/>
      <c r="D42" s="14"/>
    </row>
    <row r="43" spans="1:18" x14ac:dyDescent="0.2">
      <c r="C43" s="14"/>
      <c r="D43" s="14"/>
    </row>
    <row r="44" spans="1:18" x14ac:dyDescent="0.2">
      <c r="C44" s="14"/>
      <c r="D44" s="14"/>
    </row>
    <row r="45" spans="1:18" x14ac:dyDescent="0.2">
      <c r="C45" s="14"/>
      <c r="D45" s="14"/>
    </row>
    <row r="46" spans="1:18" x14ac:dyDescent="0.2">
      <c r="C46" s="14"/>
      <c r="D46" s="14"/>
    </row>
    <row r="47" spans="1:18" x14ac:dyDescent="0.2">
      <c r="C47" s="14"/>
      <c r="D47" s="14"/>
    </row>
    <row r="48" spans="1:18" x14ac:dyDescent="0.2">
      <c r="C48" s="14"/>
      <c r="D48" s="14"/>
    </row>
    <row r="49" spans="3:4" x14ac:dyDescent="0.2">
      <c r="C49" s="14"/>
      <c r="D49" s="14"/>
    </row>
    <row r="50" spans="3:4" x14ac:dyDescent="0.2">
      <c r="C50" s="14"/>
      <c r="D50" s="14"/>
    </row>
    <row r="51" spans="3:4" x14ac:dyDescent="0.2">
      <c r="C51" s="14"/>
      <c r="D51" s="14"/>
    </row>
    <row r="52" spans="3:4" x14ac:dyDescent="0.2">
      <c r="C52" s="14"/>
      <c r="D52" s="14"/>
    </row>
    <row r="53" spans="3:4" x14ac:dyDescent="0.2">
      <c r="C53" s="14"/>
      <c r="D53" s="14"/>
    </row>
    <row r="54" spans="3:4" x14ac:dyDescent="0.2">
      <c r="C54" s="14"/>
      <c r="D54" s="14"/>
    </row>
    <row r="55" spans="3:4" x14ac:dyDescent="0.2">
      <c r="C55" s="14"/>
      <c r="D55" s="14"/>
    </row>
    <row r="56" spans="3:4" x14ac:dyDescent="0.2">
      <c r="C56" s="14"/>
      <c r="D56" s="14"/>
    </row>
    <row r="57" spans="3:4" x14ac:dyDescent="0.2">
      <c r="C57" s="14"/>
      <c r="D57" s="14"/>
    </row>
    <row r="58" spans="3:4" x14ac:dyDescent="0.2">
      <c r="C58" s="14"/>
      <c r="D58" s="14"/>
    </row>
    <row r="59" spans="3:4" x14ac:dyDescent="0.2">
      <c r="C59" s="14"/>
      <c r="D59" s="14"/>
    </row>
    <row r="60" spans="3:4" x14ac:dyDescent="0.2">
      <c r="C60" s="14"/>
      <c r="D60" s="14"/>
    </row>
    <row r="61" spans="3:4" x14ac:dyDescent="0.2">
      <c r="C61" s="14"/>
      <c r="D61" s="14"/>
    </row>
    <row r="62" spans="3:4" x14ac:dyDescent="0.2">
      <c r="C62" s="14"/>
      <c r="D62" s="14"/>
    </row>
    <row r="63" spans="3:4" x14ac:dyDescent="0.2">
      <c r="C63" s="14"/>
      <c r="D63" s="14"/>
    </row>
    <row r="64" spans="3:4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6"/>
  <sheetViews>
    <sheetView workbookViewId="0">
      <selection activeCell="A19" sqref="A19:D22"/>
    </sheetView>
  </sheetViews>
  <sheetFormatPr defaultRowHeight="12.75" x14ac:dyDescent="0.2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9" t="s">
        <v>49</v>
      </c>
      <c r="I1" s="40" t="s">
        <v>50</v>
      </c>
      <c r="J1" s="41" t="s">
        <v>51</v>
      </c>
    </row>
    <row r="2" spans="1:16" x14ac:dyDescent="0.2">
      <c r="I2" s="42" t="s">
        <v>52</v>
      </c>
      <c r="J2" s="43" t="s">
        <v>53</v>
      </c>
    </row>
    <row r="3" spans="1:16" x14ac:dyDescent="0.2">
      <c r="A3" s="44" t="s">
        <v>54</v>
      </c>
      <c r="I3" s="42" t="s">
        <v>55</v>
      </c>
      <c r="J3" s="43" t="s">
        <v>56</v>
      </c>
    </row>
    <row r="4" spans="1:16" x14ac:dyDescent="0.2">
      <c r="I4" s="42" t="s">
        <v>57</v>
      </c>
      <c r="J4" s="43" t="s">
        <v>56</v>
      </c>
    </row>
    <row r="5" spans="1:16" ht="13.5" thickBot="1" x14ac:dyDescent="0.25">
      <c r="I5" s="45" t="s">
        <v>58</v>
      </c>
      <c r="J5" s="46" t="s">
        <v>59</v>
      </c>
    </row>
    <row r="10" spans="1:16" ht="13.5" thickBot="1" x14ac:dyDescent="0.25"/>
    <row r="11" spans="1:16" ht="12.75" customHeight="1" thickBot="1" x14ac:dyDescent="0.25">
      <c r="A11" s="14" t="str">
        <f t="shared" ref="A11:A22" si="0">P11</f>
        <v>OEJV 0074 </v>
      </c>
      <c r="B11" s="3" t="str">
        <f t="shared" ref="B11:B22" si="1">IF(H11=INT(H11),"I","II")</f>
        <v>I</v>
      </c>
      <c r="C11" s="14">
        <f t="shared" ref="C11:C22" si="2">1*G11</f>
        <v>51833.466639999999</v>
      </c>
      <c r="D11" s="13" t="str">
        <f t="shared" ref="D11:D22" si="3">VLOOKUP(F11,I$1:J$5,2,FALSE)</f>
        <v>vis</v>
      </c>
      <c r="E11" s="47">
        <f>VLOOKUP(C11,Active!C$21:E$973,3,FALSE)</f>
        <v>15737.966145369381</v>
      </c>
      <c r="F11" s="3" t="s">
        <v>58</v>
      </c>
      <c r="G11" s="13" t="str">
        <f t="shared" ref="G11:G22" si="4">MID(I11,3,LEN(I11)-3)</f>
        <v>51833.46664</v>
      </c>
      <c r="H11" s="14">
        <f t="shared" ref="H11:H22" si="5">1*K11</f>
        <v>15738</v>
      </c>
      <c r="I11" s="48" t="s">
        <v>72</v>
      </c>
      <c r="J11" s="49" t="s">
        <v>73</v>
      </c>
      <c r="K11" s="48">
        <v>15738</v>
      </c>
      <c r="L11" s="48" t="s">
        <v>74</v>
      </c>
      <c r="M11" s="49" t="s">
        <v>75</v>
      </c>
      <c r="N11" s="49" t="s">
        <v>76</v>
      </c>
      <c r="O11" s="50" t="s">
        <v>77</v>
      </c>
      <c r="P11" s="51" t="s">
        <v>78</v>
      </c>
    </row>
    <row r="12" spans="1:16" ht="12.75" customHeight="1" thickBot="1" x14ac:dyDescent="0.25">
      <c r="A12" s="14" t="str">
        <f t="shared" si="0"/>
        <v> BBS 129 </v>
      </c>
      <c r="B12" s="3" t="str">
        <f t="shared" si="1"/>
        <v>I</v>
      </c>
      <c r="C12" s="14">
        <f t="shared" si="2"/>
        <v>52535.507299999997</v>
      </c>
      <c r="D12" s="13" t="str">
        <f t="shared" si="3"/>
        <v>vis</v>
      </c>
      <c r="E12" s="47">
        <f>VLOOKUP(C12,Active!C$21:E$973,3,FALSE)</f>
        <v>16408.965310396557</v>
      </c>
      <c r="F12" s="3" t="s">
        <v>58</v>
      </c>
      <c r="G12" s="13" t="str">
        <f t="shared" si="4"/>
        <v>52535.5073</v>
      </c>
      <c r="H12" s="14">
        <f t="shared" si="5"/>
        <v>16409</v>
      </c>
      <c r="I12" s="48" t="s">
        <v>79</v>
      </c>
      <c r="J12" s="49" t="s">
        <v>80</v>
      </c>
      <c r="K12" s="48">
        <v>16409</v>
      </c>
      <c r="L12" s="48" t="s">
        <v>81</v>
      </c>
      <c r="M12" s="49" t="s">
        <v>63</v>
      </c>
      <c r="N12" s="49" t="s">
        <v>64</v>
      </c>
      <c r="O12" s="50" t="s">
        <v>65</v>
      </c>
      <c r="P12" s="50" t="s">
        <v>82</v>
      </c>
    </row>
    <row r="13" spans="1:16" ht="12.75" customHeight="1" thickBot="1" x14ac:dyDescent="0.25">
      <c r="A13" s="14" t="str">
        <f t="shared" si="0"/>
        <v>BAVM 173 </v>
      </c>
      <c r="B13" s="3" t="str">
        <f t="shared" si="1"/>
        <v>I</v>
      </c>
      <c r="C13" s="14">
        <f t="shared" si="2"/>
        <v>53258.4715</v>
      </c>
      <c r="D13" s="13" t="str">
        <f t="shared" si="3"/>
        <v>vis</v>
      </c>
      <c r="E13" s="47">
        <f>VLOOKUP(C13,Active!C$21:E$973,3,FALSE)</f>
        <v>17099.962858237366</v>
      </c>
      <c r="F13" s="3" t="s">
        <v>58</v>
      </c>
      <c r="G13" s="13" t="str">
        <f t="shared" si="4"/>
        <v>53258.4715</v>
      </c>
      <c r="H13" s="14">
        <f t="shared" si="5"/>
        <v>17100</v>
      </c>
      <c r="I13" s="48" t="s">
        <v>83</v>
      </c>
      <c r="J13" s="49" t="s">
        <v>84</v>
      </c>
      <c r="K13" s="48">
        <v>17100</v>
      </c>
      <c r="L13" s="48" t="s">
        <v>85</v>
      </c>
      <c r="M13" s="49" t="s">
        <v>63</v>
      </c>
      <c r="N13" s="49" t="s">
        <v>76</v>
      </c>
      <c r="O13" s="50" t="s">
        <v>86</v>
      </c>
      <c r="P13" s="51" t="s">
        <v>87</v>
      </c>
    </row>
    <row r="14" spans="1:16" ht="12.75" customHeight="1" thickBot="1" x14ac:dyDescent="0.25">
      <c r="A14" s="14" t="str">
        <f t="shared" si="0"/>
        <v>IBVS 5653 </v>
      </c>
      <c r="B14" s="3" t="str">
        <f t="shared" si="1"/>
        <v>I</v>
      </c>
      <c r="C14" s="14">
        <f t="shared" si="2"/>
        <v>53324.385999999999</v>
      </c>
      <c r="D14" s="13" t="str">
        <f t="shared" si="3"/>
        <v>vis</v>
      </c>
      <c r="E14" s="47">
        <f>VLOOKUP(C14,Active!C$21:E$973,3,FALSE)</f>
        <v>17162.962876588419</v>
      </c>
      <c r="F14" s="3" t="s">
        <v>58</v>
      </c>
      <c r="G14" s="13" t="str">
        <f t="shared" si="4"/>
        <v>53324.3860</v>
      </c>
      <c r="H14" s="14">
        <f t="shared" si="5"/>
        <v>17163</v>
      </c>
      <c r="I14" s="48" t="s">
        <v>88</v>
      </c>
      <c r="J14" s="49" t="s">
        <v>89</v>
      </c>
      <c r="K14" s="48">
        <v>17163</v>
      </c>
      <c r="L14" s="48" t="s">
        <v>90</v>
      </c>
      <c r="M14" s="49" t="s">
        <v>63</v>
      </c>
      <c r="N14" s="49" t="s">
        <v>64</v>
      </c>
      <c r="O14" s="50" t="s">
        <v>65</v>
      </c>
      <c r="P14" s="51" t="s">
        <v>91</v>
      </c>
    </row>
    <row r="15" spans="1:16" ht="12.75" customHeight="1" thickBot="1" x14ac:dyDescent="0.25">
      <c r="A15" s="14" t="str">
        <f t="shared" si="0"/>
        <v>BAVM 186 </v>
      </c>
      <c r="B15" s="3" t="str">
        <f t="shared" si="1"/>
        <v>I</v>
      </c>
      <c r="C15" s="14">
        <f t="shared" si="2"/>
        <v>54024.334499999997</v>
      </c>
      <c r="D15" s="13" t="str">
        <f t="shared" si="3"/>
        <v>vis</v>
      </c>
      <c r="E15" s="47">
        <f>VLOOKUP(C15,Active!C$21:E$973,3,FALSE)</f>
        <v>17831.96238875631</v>
      </c>
      <c r="F15" s="3" t="s">
        <v>58</v>
      </c>
      <c r="G15" s="13" t="str">
        <f t="shared" si="4"/>
        <v>54024.3345</v>
      </c>
      <c r="H15" s="14">
        <f t="shared" si="5"/>
        <v>17832</v>
      </c>
      <c r="I15" s="48" t="s">
        <v>92</v>
      </c>
      <c r="J15" s="49" t="s">
        <v>93</v>
      </c>
      <c r="K15" s="48">
        <v>17832</v>
      </c>
      <c r="L15" s="48" t="s">
        <v>94</v>
      </c>
      <c r="M15" s="49" t="s">
        <v>75</v>
      </c>
      <c r="N15" s="49" t="s">
        <v>76</v>
      </c>
      <c r="O15" s="50" t="s">
        <v>86</v>
      </c>
      <c r="P15" s="51" t="s">
        <v>95</v>
      </c>
    </row>
    <row r="16" spans="1:16" ht="12.75" customHeight="1" thickBot="1" x14ac:dyDescent="0.25">
      <c r="A16" s="14" t="str">
        <f t="shared" si="0"/>
        <v>BAVM 220 </v>
      </c>
      <c r="B16" s="3" t="str">
        <f t="shared" si="1"/>
        <v>I</v>
      </c>
      <c r="C16" s="14">
        <f t="shared" si="2"/>
        <v>55474.4499</v>
      </c>
      <c r="D16" s="13" t="str">
        <f t="shared" si="3"/>
        <v>vis</v>
      </c>
      <c r="E16" s="47">
        <f>VLOOKUP(C16,Active!C$21:E$973,3,FALSE)</f>
        <v>19217.95935165737</v>
      </c>
      <c r="F16" s="3" t="s">
        <v>58</v>
      </c>
      <c r="G16" s="13" t="str">
        <f t="shared" si="4"/>
        <v>55474.4499</v>
      </c>
      <c r="H16" s="14">
        <f t="shared" si="5"/>
        <v>19218</v>
      </c>
      <c r="I16" s="48" t="s">
        <v>104</v>
      </c>
      <c r="J16" s="49" t="s">
        <v>105</v>
      </c>
      <c r="K16" s="48">
        <v>19218</v>
      </c>
      <c r="L16" s="48" t="s">
        <v>106</v>
      </c>
      <c r="M16" s="49" t="s">
        <v>75</v>
      </c>
      <c r="N16" s="49" t="s">
        <v>76</v>
      </c>
      <c r="O16" s="50" t="s">
        <v>107</v>
      </c>
      <c r="P16" s="51" t="s">
        <v>108</v>
      </c>
    </row>
    <row r="17" spans="1:16" ht="12.75" customHeight="1" thickBot="1" x14ac:dyDescent="0.25">
      <c r="A17" s="14" t="str">
        <f t="shared" si="0"/>
        <v>IBVS 5960 </v>
      </c>
      <c r="B17" s="3" t="str">
        <f t="shared" si="1"/>
        <v>I</v>
      </c>
      <c r="C17" s="14">
        <f t="shared" si="2"/>
        <v>55484.912600000003</v>
      </c>
      <c r="D17" s="13" t="str">
        <f t="shared" si="3"/>
        <v>vis</v>
      </c>
      <c r="E17" s="47">
        <f>VLOOKUP(C17,Active!C$21:E$973,3,FALSE)</f>
        <v>19227.959431943222</v>
      </c>
      <c r="F17" s="3" t="s">
        <v>58</v>
      </c>
      <c r="G17" s="13" t="str">
        <f t="shared" si="4"/>
        <v>55484.9126</v>
      </c>
      <c r="H17" s="14">
        <f t="shared" si="5"/>
        <v>19228</v>
      </c>
      <c r="I17" s="48" t="s">
        <v>109</v>
      </c>
      <c r="J17" s="49" t="s">
        <v>110</v>
      </c>
      <c r="K17" s="48">
        <v>19228</v>
      </c>
      <c r="L17" s="48" t="s">
        <v>111</v>
      </c>
      <c r="M17" s="49" t="s">
        <v>75</v>
      </c>
      <c r="N17" s="49" t="s">
        <v>58</v>
      </c>
      <c r="O17" s="50" t="s">
        <v>65</v>
      </c>
      <c r="P17" s="51" t="s">
        <v>112</v>
      </c>
    </row>
    <row r="18" spans="1:16" ht="12.75" customHeight="1" thickBot="1" x14ac:dyDescent="0.25">
      <c r="A18" s="14" t="str">
        <f t="shared" si="0"/>
        <v>IBVS 6011 </v>
      </c>
      <c r="B18" s="3" t="str">
        <f t="shared" si="1"/>
        <v>I</v>
      </c>
      <c r="C18" s="14">
        <f t="shared" si="2"/>
        <v>55845.872600000002</v>
      </c>
      <c r="D18" s="13" t="str">
        <f t="shared" si="3"/>
        <v>vis</v>
      </c>
      <c r="E18" s="47">
        <f>VLOOKUP(C18,Active!C$21:E$973,3,FALSE)</f>
        <v>19572.959191085676</v>
      </c>
      <c r="F18" s="3" t="s">
        <v>58</v>
      </c>
      <c r="G18" s="13" t="str">
        <f t="shared" si="4"/>
        <v>55845.8726</v>
      </c>
      <c r="H18" s="14">
        <f t="shared" si="5"/>
        <v>19573</v>
      </c>
      <c r="I18" s="48" t="s">
        <v>113</v>
      </c>
      <c r="J18" s="49" t="s">
        <v>114</v>
      </c>
      <c r="K18" s="48">
        <v>19573</v>
      </c>
      <c r="L18" s="48" t="s">
        <v>115</v>
      </c>
      <c r="M18" s="49" t="s">
        <v>75</v>
      </c>
      <c r="N18" s="49" t="s">
        <v>58</v>
      </c>
      <c r="O18" s="50" t="s">
        <v>65</v>
      </c>
      <c r="P18" s="51" t="s">
        <v>116</v>
      </c>
    </row>
    <row r="19" spans="1:16" ht="12.75" customHeight="1" thickBot="1" x14ac:dyDescent="0.25">
      <c r="A19" s="14" t="str">
        <f t="shared" si="0"/>
        <v> BBS 119 </v>
      </c>
      <c r="B19" s="3" t="str">
        <f t="shared" si="1"/>
        <v>I</v>
      </c>
      <c r="C19" s="14">
        <f t="shared" si="2"/>
        <v>51129.334999999999</v>
      </c>
      <c r="D19" s="13" t="str">
        <f t="shared" si="3"/>
        <v>vis</v>
      </c>
      <c r="E19" s="47">
        <f>VLOOKUP(C19,Active!C$21:E$973,3,FALSE)</f>
        <v>15064.968455307928</v>
      </c>
      <c r="F19" s="3" t="s">
        <v>58</v>
      </c>
      <c r="G19" s="13" t="str">
        <f t="shared" si="4"/>
        <v>51129.335</v>
      </c>
      <c r="H19" s="14">
        <f t="shared" si="5"/>
        <v>15065</v>
      </c>
      <c r="I19" s="48" t="s">
        <v>60</v>
      </c>
      <c r="J19" s="49" t="s">
        <v>61</v>
      </c>
      <c r="K19" s="48">
        <v>15065</v>
      </c>
      <c r="L19" s="48" t="s">
        <v>62</v>
      </c>
      <c r="M19" s="49" t="s">
        <v>63</v>
      </c>
      <c r="N19" s="49" t="s">
        <v>64</v>
      </c>
      <c r="O19" s="50" t="s">
        <v>65</v>
      </c>
      <c r="P19" s="50" t="s">
        <v>66</v>
      </c>
    </row>
    <row r="20" spans="1:16" ht="12.75" customHeight="1" thickBot="1" x14ac:dyDescent="0.25">
      <c r="A20" s="14" t="str">
        <f t="shared" si="0"/>
        <v> BRNO 32 </v>
      </c>
      <c r="B20" s="3" t="str">
        <f t="shared" si="1"/>
        <v>I</v>
      </c>
      <c r="C20" s="14">
        <f t="shared" si="2"/>
        <v>51603.289400000001</v>
      </c>
      <c r="D20" s="13" t="str">
        <f t="shared" si="3"/>
        <v>vis</v>
      </c>
      <c r="E20" s="47">
        <f>VLOOKUP(C20,Active!C$21:E$973,3,FALSE)</f>
        <v>15517.966443573961</v>
      </c>
      <c r="F20" s="3" t="s">
        <v>58</v>
      </c>
      <c r="G20" s="13" t="str">
        <f t="shared" si="4"/>
        <v>51603.2894</v>
      </c>
      <c r="H20" s="14">
        <f t="shared" si="5"/>
        <v>15518</v>
      </c>
      <c r="I20" s="48" t="s">
        <v>67</v>
      </c>
      <c r="J20" s="49" t="s">
        <v>68</v>
      </c>
      <c r="K20" s="48">
        <v>15518</v>
      </c>
      <c r="L20" s="48" t="s">
        <v>69</v>
      </c>
      <c r="M20" s="49" t="s">
        <v>63</v>
      </c>
      <c r="N20" s="49" t="s">
        <v>64</v>
      </c>
      <c r="O20" s="50" t="s">
        <v>70</v>
      </c>
      <c r="P20" s="50" t="s">
        <v>71</v>
      </c>
    </row>
    <row r="21" spans="1:16" ht="12.75" customHeight="1" thickBot="1" x14ac:dyDescent="0.25">
      <c r="A21" s="14" t="str">
        <f t="shared" si="0"/>
        <v>BAVM 203 </v>
      </c>
      <c r="B21" s="3" t="str">
        <f t="shared" si="1"/>
        <v>I</v>
      </c>
      <c r="C21" s="14">
        <f t="shared" si="2"/>
        <v>54453.300499999998</v>
      </c>
      <c r="D21" s="13" t="str">
        <f t="shared" si="3"/>
        <v>vis</v>
      </c>
      <c r="E21" s="47">
        <f>VLOOKUP(C21,Active!C$21:E$973,3,FALSE)</f>
        <v>18241.961188291723</v>
      </c>
      <c r="F21" s="3" t="s">
        <v>58</v>
      </c>
      <c r="G21" s="13" t="str">
        <f t="shared" si="4"/>
        <v>54453.3005</v>
      </c>
      <c r="H21" s="14">
        <f t="shared" si="5"/>
        <v>18242</v>
      </c>
      <c r="I21" s="48" t="s">
        <v>96</v>
      </c>
      <c r="J21" s="49" t="s">
        <v>97</v>
      </c>
      <c r="K21" s="48">
        <v>18242</v>
      </c>
      <c r="L21" s="48" t="s">
        <v>98</v>
      </c>
      <c r="M21" s="49" t="s">
        <v>75</v>
      </c>
      <c r="N21" s="49" t="s">
        <v>76</v>
      </c>
      <c r="O21" s="50" t="s">
        <v>86</v>
      </c>
      <c r="P21" s="51" t="s">
        <v>99</v>
      </c>
    </row>
    <row r="22" spans="1:16" ht="12.75" customHeight="1" thickBot="1" x14ac:dyDescent="0.25">
      <c r="A22" s="14" t="str">
        <f t="shared" si="0"/>
        <v>BAVM 203 </v>
      </c>
      <c r="B22" s="3" t="str">
        <f t="shared" si="1"/>
        <v>I</v>
      </c>
      <c r="C22" s="14">
        <f t="shared" si="2"/>
        <v>54751.481099999997</v>
      </c>
      <c r="D22" s="13" t="str">
        <f t="shared" si="3"/>
        <v>vis</v>
      </c>
      <c r="E22" s="47">
        <f>VLOOKUP(C22,Active!C$21:E$973,3,FALSE)</f>
        <v>18526.957407210586</v>
      </c>
      <c r="F22" s="3" t="s">
        <v>58</v>
      </c>
      <c r="G22" s="13" t="str">
        <f t="shared" si="4"/>
        <v>54751.4811</v>
      </c>
      <c r="H22" s="14">
        <f t="shared" si="5"/>
        <v>18527</v>
      </c>
      <c r="I22" s="48" t="s">
        <v>100</v>
      </c>
      <c r="J22" s="49" t="s">
        <v>101</v>
      </c>
      <c r="K22" s="48">
        <v>18527</v>
      </c>
      <c r="L22" s="48" t="s">
        <v>102</v>
      </c>
      <c r="M22" s="49" t="s">
        <v>75</v>
      </c>
      <c r="N22" s="49" t="s">
        <v>76</v>
      </c>
      <c r="O22" s="50" t="s">
        <v>103</v>
      </c>
      <c r="P22" s="51" t="s">
        <v>99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</sheetData>
  <phoneticPr fontId="7" type="noConversion"/>
  <hyperlinks>
    <hyperlink ref="A3" r:id="rId1" xr:uid="{00000000-0004-0000-0100-000000000000}"/>
    <hyperlink ref="P11" r:id="rId2" display="http://var.astro.cz/oejv/issues/oejv0074.pdf" xr:uid="{00000000-0004-0000-0100-000001000000}"/>
    <hyperlink ref="P13" r:id="rId3" display="http://www.bav-astro.de/sfs/BAVM_link.php?BAVMnr=173" xr:uid="{00000000-0004-0000-0100-000002000000}"/>
    <hyperlink ref="P14" r:id="rId4" display="http://www.konkoly.hu/cgi-bin/IBVS?5653" xr:uid="{00000000-0004-0000-0100-000003000000}"/>
    <hyperlink ref="P15" r:id="rId5" display="http://www.bav-astro.de/sfs/BAVM_link.php?BAVMnr=186" xr:uid="{00000000-0004-0000-0100-000004000000}"/>
    <hyperlink ref="P21" r:id="rId6" display="http://www.bav-astro.de/sfs/BAVM_link.php?BAVMnr=203" xr:uid="{00000000-0004-0000-0100-000005000000}"/>
    <hyperlink ref="P22" r:id="rId7" display="http://www.bav-astro.de/sfs/BAVM_link.php?BAVMnr=203" xr:uid="{00000000-0004-0000-0100-000006000000}"/>
    <hyperlink ref="P16" r:id="rId8" display="http://www.bav-astro.de/sfs/BAVM_link.php?BAVMnr=220" xr:uid="{00000000-0004-0000-0100-000007000000}"/>
    <hyperlink ref="P17" r:id="rId9" display="http://www.konkoly.hu/cgi-bin/IBVS?5960" xr:uid="{00000000-0004-0000-0100-000008000000}"/>
    <hyperlink ref="P18" r:id="rId10" display="http://www.konkoly.hu/cgi-bin/IBVS?6011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2024-01-19T04:37:12Z</dcterms:modified>
</cp:coreProperties>
</file>