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D696F52-19D9-480D-9152-7F518A9E50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5" i="1" l="1"/>
  <c r="F45" i="1" s="1"/>
  <c r="G45" i="1" s="1"/>
  <c r="K45" i="1" s="1"/>
  <c r="Q45" i="1"/>
  <c r="E44" i="1"/>
  <c r="F44" i="1" s="1"/>
  <c r="G44" i="1" s="1"/>
  <c r="K44" i="1" s="1"/>
  <c r="Q44" i="1"/>
  <c r="E42" i="1"/>
  <c r="F42" i="1"/>
  <c r="G42" i="1"/>
  <c r="K42" i="1"/>
  <c r="E43" i="1"/>
  <c r="F43" i="1"/>
  <c r="G43" i="1"/>
  <c r="K43" i="1"/>
  <c r="Q42" i="1"/>
  <c r="Q43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E30" i="1"/>
  <c r="F30" i="1"/>
  <c r="G30" i="1"/>
  <c r="H30" i="1"/>
  <c r="E31" i="1"/>
  <c r="F31" i="1"/>
  <c r="G31" i="1"/>
  <c r="H31" i="1"/>
  <c r="E32" i="1"/>
  <c r="F32" i="1"/>
  <c r="G32" i="1"/>
  <c r="H32" i="1"/>
  <c r="E33" i="1"/>
  <c r="F33" i="1"/>
  <c r="G33" i="1"/>
  <c r="H33" i="1"/>
  <c r="E34" i="1"/>
  <c r="F34" i="1"/>
  <c r="G34" i="1"/>
  <c r="E35" i="1"/>
  <c r="F35" i="1"/>
  <c r="G35" i="1"/>
  <c r="H35" i="1"/>
  <c r="E36" i="1"/>
  <c r="F36" i="1"/>
  <c r="G36" i="1"/>
  <c r="H36" i="1"/>
  <c r="E37" i="1"/>
  <c r="F37" i="1"/>
  <c r="G37" i="1"/>
  <c r="E38" i="1"/>
  <c r="F38" i="1"/>
  <c r="G38" i="1"/>
  <c r="K38" i="1"/>
  <c r="E40" i="1"/>
  <c r="F40" i="1"/>
  <c r="G40" i="1"/>
  <c r="K40" i="1"/>
  <c r="C21" i="1"/>
  <c r="E21" i="1"/>
  <c r="F21" i="1"/>
  <c r="G21" i="1"/>
  <c r="H21" i="1"/>
  <c r="E39" i="1"/>
  <c r="F39" i="1"/>
  <c r="G39" i="1"/>
  <c r="J39" i="1"/>
  <c r="E41" i="1"/>
  <c r="F41" i="1"/>
  <c r="G41" i="1"/>
  <c r="D9" i="1"/>
  <c r="C9" i="1"/>
  <c r="Q22" i="1"/>
  <c r="Q23" i="1"/>
  <c r="Q24" i="1"/>
  <c r="Q25" i="1"/>
  <c r="Q26" i="1"/>
  <c r="Q27" i="1"/>
  <c r="Q28" i="1"/>
  <c r="H29" i="1"/>
  <c r="Q29" i="1"/>
  <c r="Q30" i="1"/>
  <c r="Q31" i="1"/>
  <c r="Q32" i="1"/>
  <c r="Q33" i="1"/>
  <c r="H34" i="1"/>
  <c r="Q34" i="1"/>
  <c r="Q35" i="1"/>
  <c r="Q36" i="1"/>
  <c r="K37" i="1"/>
  <c r="Q37" i="1"/>
  <c r="Q38" i="1"/>
  <c r="Q40" i="1"/>
  <c r="G12" i="2"/>
  <c r="C12" i="2"/>
  <c r="E12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1" i="2"/>
  <c r="C11" i="2"/>
  <c r="E11" i="2"/>
  <c r="H12" i="2"/>
  <c r="D12" i="2"/>
  <c r="B12" i="2"/>
  <c r="A12" i="2"/>
  <c r="H30" i="2"/>
  <c r="D30" i="2"/>
  <c r="B30" i="2"/>
  <c r="A30" i="2"/>
  <c r="H29" i="2"/>
  <c r="D29" i="2"/>
  <c r="B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1" i="2"/>
  <c r="D11" i="2"/>
  <c r="B11" i="2"/>
  <c r="A11" i="2"/>
  <c r="J41" i="1"/>
  <c r="Q41" i="1"/>
  <c r="Q39" i="1"/>
  <c r="F16" i="1"/>
  <c r="C17" i="1"/>
  <c r="Q21" i="1"/>
  <c r="C11" i="1"/>
  <c r="C12" i="1"/>
  <c r="O45" i="1" l="1"/>
  <c r="O44" i="1"/>
  <c r="C16" i="1"/>
  <c r="D18" i="1" s="1"/>
  <c r="O27" i="1"/>
  <c r="O22" i="1"/>
  <c r="O38" i="1"/>
  <c r="O21" i="1"/>
  <c r="O24" i="1"/>
  <c r="O34" i="1"/>
  <c r="O30" i="1"/>
  <c r="O25" i="1"/>
  <c r="O35" i="1"/>
  <c r="O23" i="1"/>
  <c r="O32" i="1"/>
  <c r="O28" i="1"/>
  <c r="O40" i="1"/>
  <c r="O37" i="1"/>
  <c r="O33" i="1"/>
  <c r="O36" i="1"/>
  <c r="O43" i="1"/>
  <c r="C15" i="1"/>
  <c r="O42" i="1"/>
  <c r="O41" i="1"/>
  <c r="O31" i="1"/>
  <c r="O26" i="1"/>
  <c r="O29" i="1"/>
  <c r="O39" i="1"/>
  <c r="F17" i="1"/>
  <c r="C18" i="1" l="1"/>
  <c r="F18" i="1"/>
  <c r="F19" i="1" s="1"/>
</calcChain>
</file>

<file path=xl/sharedStrings.xml><?xml version="1.0" encoding="utf-8"?>
<sst xmlns="http://schemas.openxmlformats.org/spreadsheetml/2006/main" count="272" uniqueCount="131">
  <si>
    <t>IBVS 6196</t>
  </si>
  <si>
    <t>0.0064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</si>
  <si>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</si>
  <si>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</si>
  <si>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</si>
  <si>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</si>
  <si>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</si>
  <si>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</si>
  <si>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</si>
  <si>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</si>
  <si>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</si>
  <si>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</si>
  <si>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</si>
  <si>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</si>
  <si>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</si>
  <si>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</si>
  <si>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</si>
  <si>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</si>
  <si>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</si>
  <si>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</si>
  <si>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</si>
  <si>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</si>
  <si>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</si>
  <si>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</si>
  <si>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</si>
  <si>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</si>
  <si>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</si>
  <si>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</si>
  <si>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</si>
  <si>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</si>
  <si>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</si>
  <si>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</si>
  <si>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</si>
  <si>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</si>
  <si>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</si>
  <si>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</si>
  <si>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</si>
  <si>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</si>
  <si>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BAD</t>
  </si>
  <si>
    <t>GCVS 4</t>
  </si>
  <si>
    <t>EA</t>
  </si>
  <si>
    <t>IQ Cas / GSC 3696-0917</t>
  </si>
  <si>
    <t>IBVS 6118</t>
  </si>
  <si>
    <t>I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</si>
  <si>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</si>
  <si>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</si>
  <si>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</si>
  <si>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</si>
  <si>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</si>
  <si>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</si>
  <si>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</si>
  <si>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</si>
  <si>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</si>
  <si>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</si>
  <si>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</si>
  <si>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</si>
  <si>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2428308.42 </t>
  </si>
  <si>
    <t> 19.05.1936 22:04 </t>
  </si>
  <si>
    <t> 0.00 </t>
  </si>
  <si>
    <t>P </t>
  </si>
  <si>
    <t> C.Hoffmeister </t>
  </si>
  <si>
    <t> VSS 1.67 </t>
  </si>
  <si>
    <t>2429165.60 </t>
  </si>
  <si>
    <t> 24.09.1938 02:24 </t>
  </si>
  <si>
    <t> 0.08 </t>
  </si>
  <si>
    <t>2429229.45 </t>
  </si>
  <si>
    <t> 26.11.1938 22:48 </t>
  </si>
  <si>
    <t> 0.18 </t>
  </si>
  <si>
    <t>2429374.46 </t>
  </si>
  <si>
    <t> 20.04.1939 23:02 </t>
  </si>
  <si>
    <t> -0.03 </t>
  </si>
  <si>
    <t>2429466.49 </t>
  </si>
  <si>
    <t> 21.07.1939 23:45 </t>
  </si>
  <si>
    <t> -0.08 </t>
  </si>
  <si>
    <t>2429576.39 </t>
  </si>
  <si>
    <t> 08.11.1939 21:21 </t>
  </si>
  <si>
    <t> 0.02 </t>
  </si>
  <si>
    <t>2429955.36 </t>
  </si>
  <si>
    <t> 21.11.1940 20:38 </t>
  </si>
  <si>
    <t> 0.03 </t>
  </si>
  <si>
    <t>2430366.29 </t>
  </si>
  <si>
    <t> 06.01.1942 18:57 </t>
  </si>
  <si>
    <t> 0.11 </t>
  </si>
  <si>
    <t>2430373.26 </t>
  </si>
  <si>
    <t> 13.01.1942 18:14 </t>
  </si>
  <si>
    <t> -0.00 </t>
  </si>
  <si>
    <t>2430465.44 </t>
  </si>
  <si>
    <t> 15.04.1942 22:33 </t>
  </si>
  <si>
    <t> 0.09 </t>
  </si>
  <si>
    <t>2430624.61 </t>
  </si>
  <si>
    <t> 22.09.1942 02:38 </t>
  </si>
  <si>
    <t> -0.11 </t>
  </si>
  <si>
    <t>2430674.42 </t>
  </si>
  <si>
    <t> 10.11.1942 22:04 </t>
  </si>
  <si>
    <t>2430819.44 </t>
  </si>
  <si>
    <t> 04.04.1943 22:33 </t>
  </si>
  <si>
    <t>2431028.53 </t>
  </si>
  <si>
    <t> 31.10.1943 00:43 </t>
  </si>
  <si>
    <t> 0.05 </t>
  </si>
  <si>
    <t>2431322.42 </t>
  </si>
  <si>
    <t> 19.08.1944 22:04 </t>
  </si>
  <si>
    <t>V </t>
  </si>
  <si>
    <t>2431329.56 </t>
  </si>
  <si>
    <t> 27.08.1944 01:26 </t>
  </si>
  <si>
    <t>2455154.6432 </t>
  </si>
  <si>
    <t> 19.11.2009 03:26 </t>
  </si>
  <si>
    <t> -0.2418 </t>
  </si>
  <si>
    <t>C </t>
  </si>
  <si>
    <t>-I</t>
  </si>
  <si>
    <t> F.Agerer </t>
  </si>
  <si>
    <t>BAVM 212 </t>
  </si>
  <si>
    <t>2455859.4361 </t>
  </si>
  <si>
    <t> 24.10.2011 22:27 </t>
  </si>
  <si>
    <t>7779</t>
  </si>
  <si>
    <t> -0.2571 </t>
  </si>
  <si>
    <t>BAVM 225 </t>
  </si>
  <si>
    <t>2456610.2679 </t>
  </si>
  <si>
    <t> 13.11.2013 18:25 </t>
  </si>
  <si>
    <t>7991</t>
  </si>
  <si>
    <t> -0.2763 </t>
  </si>
  <si>
    <t>o</t>
  </si>
  <si>
    <t> W.Moschner &amp; P.Frank </t>
  </si>
  <si>
    <t>BAVM 234 </t>
  </si>
  <si>
    <t>2456918.3959 </t>
  </si>
  <si>
    <t> 17.09.2014 21:30 </t>
  </si>
  <si>
    <t>8078</t>
  </si>
  <si>
    <t> -0.2806 </t>
  </si>
  <si>
    <t>BAVM 239 </t>
  </si>
  <si>
    <t>OEJV 0179</t>
  </si>
  <si>
    <t>JBAV, 60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</si>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</sst>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 Unicode MS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" fontId="39" fillId="0" borderId="0" applyFont="0" applyFill="0" applyBorder="0" applyAlignment="0" applyProtection="0"/>
    <xf numFmtId="0" fontId="30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32" fillId="7" borderId="1" applyNumberFormat="0" applyAlignment="0" applyProtection="0"/>
    <xf numFmtId="0" fontId="33" fillId="0" borderId="4" applyNumberFormat="0" applyFill="0" applyAlignment="0" applyProtection="0"/>
    <xf numFmtId="0" fontId="34" fillId="22" borderId="0" applyNumberFormat="0" applyBorder="0" applyAlignment="0" applyProtection="0"/>
    <xf numFmtId="0" fontId="6" fillId="0" borderId="0"/>
    <xf numFmtId="0" fontId="23" fillId="0" borderId="0"/>
    <xf numFmtId="0" fontId="23" fillId="23" borderId="5" applyNumberFormat="0" applyFont="0" applyAlignment="0" applyProtection="0"/>
    <xf numFmtId="0" fontId="35" fillId="20" borderId="6" applyNumberFormat="0" applyAlignment="0" applyProtection="0"/>
    <xf numFmtId="0" fontId="36" fillId="0" borderId="0" applyNumberFormat="0" applyFill="0" applyBorder="0" applyAlignment="0" applyProtection="0"/>
    <xf numFmtId="0" fontId="39" fillId="0" borderId="7" applyNumberFormat="0" applyFont="0" applyFill="0" applyAlignment="0" applyProtection="0"/>
    <xf numFmtId="0" fontId="37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11" fillId="0" borderId="0" xfId="0" applyFont="1" applyAlignment="1"/>
    <xf numFmtId="0" fontId="16" fillId="0" borderId="0" xfId="0" applyFont="1" applyAlignment="1"/>
    <xf numFmtId="0" fontId="17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0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0" fillId="24" borderId="17" xfId="38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8" fillId="0" borderId="0" xfId="42" applyFont="1" applyAlignment="1">
      <alignment wrapText="1"/>
    </xf>
    <xf numFmtId="0" fontId="38" fillId="0" borderId="0" xfId="42" applyFont="1" applyAlignment="1">
      <alignment horizontal="center" wrapText="1"/>
    </xf>
    <xf numFmtId="0" fontId="38" fillId="0" borderId="0" xfId="42" applyFont="1" applyAlignment="1">
      <alignment horizontal="left" wrapText="1"/>
    </xf>
    <xf numFmtId="0" fontId="38" fillId="0" borderId="0" xfId="43" applyFont="1"/>
    <xf numFmtId="0" fontId="38" fillId="0" borderId="0" xfId="43" applyFont="1" applyAlignment="1">
      <alignment horizontal="center"/>
    </xf>
    <xf numFmtId="0" fontId="38" fillId="0" borderId="0" xfId="43" applyFont="1" applyAlignment="1">
      <alignment horizontal="left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165" fontId="40" fillId="0" borderId="0" xfId="0" applyNumberFormat="1" applyFont="1" applyAlignment="1">
      <alignment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IQ Cas - O-C Diagr.</a:t>
            </a:r>
          </a:p>
        </c:rich>
      </c:tx>
      <c:layout>
        <c:manualLayout>
          <c:xMode val="edge"/>
          <c:yMode val="edge"/>
          <c:x val="0.4162844036697247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06422018348624"/>
          <c:y val="0.14035127795846455"/>
          <c:w val="0.8658256880733945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2.2000000000000001E-3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0</c:v>
                  </c:pt>
                  <c:pt idx="22">
                    <c:v>2.2000000000000001E-3</c:v>
                  </c:pt>
                  <c:pt idx="23">
                    <c:v>1.6999999999999999E-3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2.2000000000000001E-3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0</c:v>
                  </c:pt>
                  <c:pt idx="22">
                    <c:v>2.2000000000000001E-3</c:v>
                  </c:pt>
                  <c:pt idx="23">
                    <c:v>1.6999999999999999E-3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</c:v>
                </c:pt>
                <c:pt idx="2">
                  <c:v>260</c:v>
                </c:pt>
                <c:pt idx="3">
                  <c:v>301</c:v>
                </c:pt>
                <c:pt idx="4">
                  <c:v>327</c:v>
                </c:pt>
                <c:pt idx="5">
                  <c:v>358</c:v>
                </c:pt>
                <c:pt idx="6">
                  <c:v>465</c:v>
                </c:pt>
                <c:pt idx="7">
                  <c:v>581</c:v>
                </c:pt>
                <c:pt idx="8">
                  <c:v>583</c:v>
                </c:pt>
                <c:pt idx="9">
                  <c:v>609</c:v>
                </c:pt>
                <c:pt idx="10">
                  <c:v>654</c:v>
                </c:pt>
                <c:pt idx="11">
                  <c:v>668</c:v>
                </c:pt>
                <c:pt idx="12">
                  <c:v>709</c:v>
                </c:pt>
                <c:pt idx="13">
                  <c:v>768</c:v>
                </c:pt>
                <c:pt idx="14">
                  <c:v>851</c:v>
                </c:pt>
                <c:pt idx="15">
                  <c:v>853</c:v>
                </c:pt>
                <c:pt idx="16">
                  <c:v>7580</c:v>
                </c:pt>
                <c:pt idx="17">
                  <c:v>7779</c:v>
                </c:pt>
                <c:pt idx="18">
                  <c:v>7991</c:v>
                </c:pt>
                <c:pt idx="19">
                  <c:v>7991</c:v>
                </c:pt>
                <c:pt idx="20">
                  <c:v>8078</c:v>
                </c:pt>
                <c:pt idx="21">
                  <c:v>8176</c:v>
                </c:pt>
                <c:pt idx="22">
                  <c:v>8087</c:v>
                </c:pt>
                <c:pt idx="23">
                  <c:v>8087</c:v>
                </c:pt>
                <c:pt idx="24">
                  <c:v>8752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7.6499999999214197E-2</c:v>
                </c:pt>
                <c:pt idx="2">
                  <c:v>0.17500000000291038</c:v>
                </c:pt>
                <c:pt idx="3">
                  <c:v>-2.674999999726424E-2</c:v>
                </c:pt>
                <c:pt idx="4">
                  <c:v>-8.2249999995838152E-2</c:v>
                </c:pt>
                <c:pt idx="5">
                  <c:v>2.3500000002968591E-2</c:v>
                </c:pt>
                <c:pt idx="6">
                  <c:v>2.6250000002619345E-2</c:v>
                </c:pt>
                <c:pt idx="7">
                  <c:v>0.11325000000215368</c:v>
                </c:pt>
                <c:pt idx="8">
                  <c:v>-2.5000000096042641E-4</c:v>
                </c:pt>
                <c:pt idx="9">
                  <c:v>9.4250000001920853E-2</c:v>
                </c:pt>
                <c:pt idx="10">
                  <c:v>-0.11449999999604188</c:v>
                </c:pt>
                <c:pt idx="11">
                  <c:v>0.1110000000007858</c:v>
                </c:pt>
                <c:pt idx="12">
                  <c:v>-8.075000000098953E-2</c:v>
                </c:pt>
                <c:pt idx="13">
                  <c:v>4.6000000002095476E-2</c:v>
                </c:pt>
                <c:pt idx="14">
                  <c:v>-2.9249999999592546E-2</c:v>
                </c:pt>
                <c:pt idx="15">
                  <c:v>2.7250000002823072E-2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6E-486A-B4C7-B162CE5B703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2.2000000000000001E-3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0</c:v>
                  </c:pt>
                  <c:pt idx="22">
                    <c:v>2.2000000000000001E-3</c:v>
                  </c:pt>
                  <c:pt idx="23">
                    <c:v>1.6999999999999999E-3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2.2000000000000001E-3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0</c:v>
                  </c:pt>
                  <c:pt idx="22">
                    <c:v>2.2000000000000001E-3</c:v>
                  </c:pt>
                  <c:pt idx="23">
                    <c:v>1.6999999999999999E-3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</c:v>
                </c:pt>
                <c:pt idx="2">
                  <c:v>260</c:v>
                </c:pt>
                <c:pt idx="3">
                  <c:v>301</c:v>
                </c:pt>
                <c:pt idx="4">
                  <c:v>327</c:v>
                </c:pt>
                <c:pt idx="5">
                  <c:v>358</c:v>
                </c:pt>
                <c:pt idx="6">
                  <c:v>465</c:v>
                </c:pt>
                <c:pt idx="7">
                  <c:v>581</c:v>
                </c:pt>
                <c:pt idx="8">
                  <c:v>583</c:v>
                </c:pt>
                <c:pt idx="9">
                  <c:v>609</c:v>
                </c:pt>
                <c:pt idx="10">
                  <c:v>654</c:v>
                </c:pt>
                <c:pt idx="11">
                  <c:v>668</c:v>
                </c:pt>
                <c:pt idx="12">
                  <c:v>709</c:v>
                </c:pt>
                <c:pt idx="13">
                  <c:v>768</c:v>
                </c:pt>
                <c:pt idx="14">
                  <c:v>851</c:v>
                </c:pt>
                <c:pt idx="15">
                  <c:v>853</c:v>
                </c:pt>
                <c:pt idx="16">
                  <c:v>7580</c:v>
                </c:pt>
                <c:pt idx="17">
                  <c:v>7779</c:v>
                </c:pt>
                <c:pt idx="18">
                  <c:v>7991</c:v>
                </c:pt>
                <c:pt idx="19">
                  <c:v>7991</c:v>
                </c:pt>
                <c:pt idx="20">
                  <c:v>8078</c:v>
                </c:pt>
                <c:pt idx="21">
                  <c:v>8176</c:v>
                </c:pt>
                <c:pt idx="22">
                  <c:v>8087</c:v>
                </c:pt>
                <c:pt idx="23">
                  <c:v>8087</c:v>
                </c:pt>
                <c:pt idx="24">
                  <c:v>8752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6E-486A-B4C7-B162CE5B703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2.2000000000000001E-3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0</c:v>
                  </c:pt>
                  <c:pt idx="22">
                    <c:v>2.2000000000000001E-3</c:v>
                  </c:pt>
                  <c:pt idx="23">
                    <c:v>1.6999999999999999E-3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2.2000000000000001E-3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0</c:v>
                  </c:pt>
                  <c:pt idx="22">
                    <c:v>2.2000000000000001E-3</c:v>
                  </c:pt>
                  <c:pt idx="23">
                    <c:v>1.6999999999999999E-3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</c:v>
                </c:pt>
                <c:pt idx="2">
                  <c:v>260</c:v>
                </c:pt>
                <c:pt idx="3">
                  <c:v>301</c:v>
                </c:pt>
                <c:pt idx="4">
                  <c:v>327</c:v>
                </c:pt>
                <c:pt idx="5">
                  <c:v>358</c:v>
                </c:pt>
                <c:pt idx="6">
                  <c:v>465</c:v>
                </c:pt>
                <c:pt idx="7">
                  <c:v>581</c:v>
                </c:pt>
                <c:pt idx="8">
                  <c:v>583</c:v>
                </c:pt>
                <c:pt idx="9">
                  <c:v>609</c:v>
                </c:pt>
                <c:pt idx="10">
                  <c:v>654</c:v>
                </c:pt>
                <c:pt idx="11">
                  <c:v>668</c:v>
                </c:pt>
                <c:pt idx="12">
                  <c:v>709</c:v>
                </c:pt>
                <c:pt idx="13">
                  <c:v>768</c:v>
                </c:pt>
                <c:pt idx="14">
                  <c:v>851</c:v>
                </c:pt>
                <c:pt idx="15">
                  <c:v>853</c:v>
                </c:pt>
                <c:pt idx="16">
                  <c:v>7580</c:v>
                </c:pt>
                <c:pt idx="17">
                  <c:v>7779</c:v>
                </c:pt>
                <c:pt idx="18">
                  <c:v>7991</c:v>
                </c:pt>
                <c:pt idx="19">
                  <c:v>7991</c:v>
                </c:pt>
                <c:pt idx="20">
                  <c:v>8078</c:v>
                </c:pt>
                <c:pt idx="21">
                  <c:v>8176</c:v>
                </c:pt>
                <c:pt idx="22">
                  <c:v>8087</c:v>
                </c:pt>
                <c:pt idx="23">
                  <c:v>8087</c:v>
                </c:pt>
                <c:pt idx="24">
                  <c:v>8752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8">
                  <c:v>-0.2842499999969732</c:v>
                </c:pt>
                <c:pt idx="20">
                  <c:v>-0.28059999999823049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6E-486A-B4C7-B162CE5B703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2.2000000000000001E-3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0</c:v>
                  </c:pt>
                  <c:pt idx="22">
                    <c:v>2.2000000000000001E-3</c:v>
                  </c:pt>
                  <c:pt idx="23">
                    <c:v>1.6999999999999999E-3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2.2000000000000001E-3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0</c:v>
                  </c:pt>
                  <c:pt idx="22">
                    <c:v>2.2000000000000001E-3</c:v>
                  </c:pt>
                  <c:pt idx="23">
                    <c:v>1.6999999999999999E-3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</c:v>
                </c:pt>
                <c:pt idx="2">
                  <c:v>260</c:v>
                </c:pt>
                <c:pt idx="3">
                  <c:v>301</c:v>
                </c:pt>
                <c:pt idx="4">
                  <c:v>327</c:v>
                </c:pt>
                <c:pt idx="5">
                  <c:v>358</c:v>
                </c:pt>
                <c:pt idx="6">
                  <c:v>465</c:v>
                </c:pt>
                <c:pt idx="7">
                  <c:v>581</c:v>
                </c:pt>
                <c:pt idx="8">
                  <c:v>583</c:v>
                </c:pt>
                <c:pt idx="9">
                  <c:v>609</c:v>
                </c:pt>
                <c:pt idx="10">
                  <c:v>654</c:v>
                </c:pt>
                <c:pt idx="11">
                  <c:v>668</c:v>
                </c:pt>
                <c:pt idx="12">
                  <c:v>709</c:v>
                </c:pt>
                <c:pt idx="13">
                  <c:v>768</c:v>
                </c:pt>
                <c:pt idx="14">
                  <c:v>851</c:v>
                </c:pt>
                <c:pt idx="15">
                  <c:v>853</c:v>
                </c:pt>
                <c:pt idx="16">
                  <c:v>7580</c:v>
                </c:pt>
                <c:pt idx="17">
                  <c:v>7779</c:v>
                </c:pt>
                <c:pt idx="18">
                  <c:v>7991</c:v>
                </c:pt>
                <c:pt idx="19">
                  <c:v>7991</c:v>
                </c:pt>
                <c:pt idx="20">
                  <c:v>8078</c:v>
                </c:pt>
                <c:pt idx="21">
                  <c:v>8176</c:v>
                </c:pt>
                <c:pt idx="22">
                  <c:v>8087</c:v>
                </c:pt>
                <c:pt idx="23">
                  <c:v>8087</c:v>
                </c:pt>
                <c:pt idx="24">
                  <c:v>8752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6">
                  <c:v>-0.24179999999614665</c:v>
                </c:pt>
                <c:pt idx="17">
                  <c:v>-0.25714999999763677</c:v>
                </c:pt>
                <c:pt idx="19">
                  <c:v>-0.27635000000009313</c:v>
                </c:pt>
                <c:pt idx="21">
                  <c:v>-0.27149999999528518</c:v>
                </c:pt>
                <c:pt idx="22">
                  <c:v>-0.27522999999200692</c:v>
                </c:pt>
                <c:pt idx="23">
                  <c:v>-0.27248999999574153</c:v>
                </c:pt>
                <c:pt idx="24">
                  <c:v>-0.26610000000073342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6E-486A-B4C7-B162CE5B703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2.2000000000000001E-3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0</c:v>
                  </c:pt>
                  <c:pt idx="22">
                    <c:v>2.2000000000000001E-3</c:v>
                  </c:pt>
                  <c:pt idx="23">
                    <c:v>1.6999999999999999E-3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2.2000000000000001E-3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0</c:v>
                  </c:pt>
                  <c:pt idx="22">
                    <c:v>2.2000000000000001E-3</c:v>
                  </c:pt>
                  <c:pt idx="23">
                    <c:v>1.6999999999999999E-3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</c:v>
                </c:pt>
                <c:pt idx="2">
                  <c:v>260</c:v>
                </c:pt>
                <c:pt idx="3">
                  <c:v>301</c:v>
                </c:pt>
                <c:pt idx="4">
                  <c:v>327</c:v>
                </c:pt>
                <c:pt idx="5">
                  <c:v>358</c:v>
                </c:pt>
                <c:pt idx="6">
                  <c:v>465</c:v>
                </c:pt>
                <c:pt idx="7">
                  <c:v>581</c:v>
                </c:pt>
                <c:pt idx="8">
                  <c:v>583</c:v>
                </c:pt>
                <c:pt idx="9">
                  <c:v>609</c:v>
                </c:pt>
                <c:pt idx="10">
                  <c:v>654</c:v>
                </c:pt>
                <c:pt idx="11">
                  <c:v>668</c:v>
                </c:pt>
                <c:pt idx="12">
                  <c:v>709</c:v>
                </c:pt>
                <c:pt idx="13">
                  <c:v>768</c:v>
                </c:pt>
                <c:pt idx="14">
                  <c:v>851</c:v>
                </c:pt>
                <c:pt idx="15">
                  <c:v>853</c:v>
                </c:pt>
                <c:pt idx="16">
                  <c:v>7580</c:v>
                </c:pt>
                <c:pt idx="17">
                  <c:v>7779</c:v>
                </c:pt>
                <c:pt idx="18">
                  <c:v>7991</c:v>
                </c:pt>
                <c:pt idx="19">
                  <c:v>7991</c:v>
                </c:pt>
                <c:pt idx="20">
                  <c:v>8078</c:v>
                </c:pt>
                <c:pt idx="21">
                  <c:v>8176</c:v>
                </c:pt>
                <c:pt idx="22">
                  <c:v>8087</c:v>
                </c:pt>
                <c:pt idx="23">
                  <c:v>8087</c:v>
                </c:pt>
                <c:pt idx="24">
                  <c:v>8752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6E-486A-B4C7-B162CE5B703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2.2000000000000001E-3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0</c:v>
                  </c:pt>
                  <c:pt idx="22">
                    <c:v>2.2000000000000001E-3</c:v>
                  </c:pt>
                  <c:pt idx="23">
                    <c:v>1.6999999999999999E-3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2.2000000000000001E-3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0</c:v>
                  </c:pt>
                  <c:pt idx="22">
                    <c:v>2.2000000000000001E-3</c:v>
                  </c:pt>
                  <c:pt idx="23">
                    <c:v>1.6999999999999999E-3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</c:v>
                </c:pt>
                <c:pt idx="2">
                  <c:v>260</c:v>
                </c:pt>
                <c:pt idx="3">
                  <c:v>301</c:v>
                </c:pt>
                <c:pt idx="4">
                  <c:v>327</c:v>
                </c:pt>
                <c:pt idx="5">
                  <c:v>358</c:v>
                </c:pt>
                <c:pt idx="6">
                  <c:v>465</c:v>
                </c:pt>
                <c:pt idx="7">
                  <c:v>581</c:v>
                </c:pt>
                <c:pt idx="8">
                  <c:v>583</c:v>
                </c:pt>
                <c:pt idx="9">
                  <c:v>609</c:v>
                </c:pt>
                <c:pt idx="10">
                  <c:v>654</c:v>
                </c:pt>
                <c:pt idx="11">
                  <c:v>668</c:v>
                </c:pt>
                <c:pt idx="12">
                  <c:v>709</c:v>
                </c:pt>
                <c:pt idx="13">
                  <c:v>768</c:v>
                </c:pt>
                <c:pt idx="14">
                  <c:v>851</c:v>
                </c:pt>
                <c:pt idx="15">
                  <c:v>853</c:v>
                </c:pt>
                <c:pt idx="16">
                  <c:v>7580</c:v>
                </c:pt>
                <c:pt idx="17">
                  <c:v>7779</c:v>
                </c:pt>
                <c:pt idx="18">
                  <c:v>7991</c:v>
                </c:pt>
                <c:pt idx="19">
                  <c:v>7991</c:v>
                </c:pt>
                <c:pt idx="20">
                  <c:v>8078</c:v>
                </c:pt>
                <c:pt idx="21">
                  <c:v>8176</c:v>
                </c:pt>
                <c:pt idx="22">
                  <c:v>8087</c:v>
                </c:pt>
                <c:pt idx="23">
                  <c:v>8087</c:v>
                </c:pt>
                <c:pt idx="24">
                  <c:v>8752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6E-486A-B4C7-B162CE5B703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2.2000000000000001E-3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0</c:v>
                  </c:pt>
                  <c:pt idx="22">
                    <c:v>2.2000000000000001E-3</c:v>
                  </c:pt>
                  <c:pt idx="23">
                    <c:v>1.6999999999999999E-3</c:v>
                  </c:pt>
                  <c:pt idx="2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2.2000000000000001E-3</c:v>
                  </c:pt>
                  <c:pt idx="19">
                    <c:v>0</c:v>
                  </c:pt>
                  <c:pt idx="20">
                    <c:v>2.0000000000000001E-4</c:v>
                  </c:pt>
                  <c:pt idx="21">
                    <c:v>0</c:v>
                  </c:pt>
                  <c:pt idx="22">
                    <c:v>2.2000000000000001E-3</c:v>
                  </c:pt>
                  <c:pt idx="23">
                    <c:v>1.6999999999999999E-3</c:v>
                  </c:pt>
                  <c:pt idx="2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</c:v>
                </c:pt>
                <c:pt idx="2">
                  <c:v>260</c:v>
                </c:pt>
                <c:pt idx="3">
                  <c:v>301</c:v>
                </c:pt>
                <c:pt idx="4">
                  <c:v>327</c:v>
                </c:pt>
                <c:pt idx="5">
                  <c:v>358</c:v>
                </c:pt>
                <c:pt idx="6">
                  <c:v>465</c:v>
                </c:pt>
                <c:pt idx="7">
                  <c:v>581</c:v>
                </c:pt>
                <c:pt idx="8">
                  <c:v>583</c:v>
                </c:pt>
                <c:pt idx="9">
                  <c:v>609</c:v>
                </c:pt>
                <c:pt idx="10">
                  <c:v>654</c:v>
                </c:pt>
                <c:pt idx="11">
                  <c:v>668</c:v>
                </c:pt>
                <c:pt idx="12">
                  <c:v>709</c:v>
                </c:pt>
                <c:pt idx="13">
                  <c:v>768</c:v>
                </c:pt>
                <c:pt idx="14">
                  <c:v>851</c:v>
                </c:pt>
                <c:pt idx="15">
                  <c:v>853</c:v>
                </c:pt>
                <c:pt idx="16">
                  <c:v>7580</c:v>
                </c:pt>
                <c:pt idx="17">
                  <c:v>7779</c:v>
                </c:pt>
                <c:pt idx="18">
                  <c:v>7991</c:v>
                </c:pt>
                <c:pt idx="19">
                  <c:v>7991</c:v>
                </c:pt>
                <c:pt idx="20">
                  <c:v>8078</c:v>
                </c:pt>
                <c:pt idx="21">
                  <c:v>8176</c:v>
                </c:pt>
                <c:pt idx="22">
                  <c:v>8087</c:v>
                </c:pt>
                <c:pt idx="23">
                  <c:v>8087</c:v>
                </c:pt>
                <c:pt idx="24">
                  <c:v>8752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6E-486A-B4C7-B162CE5B703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</c:v>
                </c:pt>
                <c:pt idx="2">
                  <c:v>260</c:v>
                </c:pt>
                <c:pt idx="3">
                  <c:v>301</c:v>
                </c:pt>
                <c:pt idx="4">
                  <c:v>327</c:v>
                </c:pt>
                <c:pt idx="5">
                  <c:v>358</c:v>
                </c:pt>
                <c:pt idx="6">
                  <c:v>465</c:v>
                </c:pt>
                <c:pt idx="7">
                  <c:v>581</c:v>
                </c:pt>
                <c:pt idx="8">
                  <c:v>583</c:v>
                </c:pt>
                <c:pt idx="9">
                  <c:v>609</c:v>
                </c:pt>
                <c:pt idx="10">
                  <c:v>654</c:v>
                </c:pt>
                <c:pt idx="11">
                  <c:v>668</c:v>
                </c:pt>
                <c:pt idx="12">
                  <c:v>709</c:v>
                </c:pt>
                <c:pt idx="13">
                  <c:v>768</c:v>
                </c:pt>
                <c:pt idx="14">
                  <c:v>851</c:v>
                </c:pt>
                <c:pt idx="15">
                  <c:v>853</c:v>
                </c:pt>
                <c:pt idx="16">
                  <c:v>7580</c:v>
                </c:pt>
                <c:pt idx="17">
                  <c:v>7779</c:v>
                </c:pt>
                <c:pt idx="18">
                  <c:v>7991</c:v>
                </c:pt>
                <c:pt idx="19">
                  <c:v>7991</c:v>
                </c:pt>
                <c:pt idx="20">
                  <c:v>8078</c:v>
                </c:pt>
                <c:pt idx="21">
                  <c:v>8176</c:v>
                </c:pt>
                <c:pt idx="22">
                  <c:v>8087</c:v>
                </c:pt>
                <c:pt idx="23">
                  <c:v>8087</c:v>
                </c:pt>
                <c:pt idx="24">
                  <c:v>8752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-0.13478969727540169</c:v>
                </c:pt>
                <c:pt idx="1">
                  <c:v>-0.13883530860629348</c:v>
                </c:pt>
                <c:pt idx="2">
                  <c:v>-0.13913622184578131</c:v>
                </c:pt>
                <c:pt idx="3">
                  <c:v>-0.13982163533572578</c:v>
                </c:pt>
                <c:pt idx="4">
                  <c:v>-0.14025628779276375</c:v>
                </c:pt>
                <c:pt idx="5">
                  <c:v>-0.14077452726077055</c:v>
                </c:pt>
                <c:pt idx="6">
                  <c:v>-0.14256328929550369</c:v>
                </c:pt>
                <c:pt idx="7">
                  <c:v>-0.14450250794998076</c:v>
                </c:pt>
                <c:pt idx="8">
                  <c:v>-0.14453594275436829</c:v>
                </c:pt>
                <c:pt idx="9">
                  <c:v>-0.14497059521140626</c:v>
                </c:pt>
                <c:pt idx="10">
                  <c:v>-0.14572287831012581</c:v>
                </c:pt>
                <c:pt idx="11">
                  <c:v>-0.14595692194083856</c:v>
                </c:pt>
                <c:pt idx="12">
                  <c:v>-0.14664233543078303</c:v>
                </c:pt>
                <c:pt idx="13">
                  <c:v>-0.14762866216021533</c:v>
                </c:pt>
                <c:pt idx="14">
                  <c:v>-0.14901620654229805</c:v>
                </c:pt>
                <c:pt idx="15">
                  <c:v>-0.14904964134668558</c:v>
                </c:pt>
                <c:pt idx="16">
                  <c:v>-0.26150760590416133</c:v>
                </c:pt>
                <c:pt idx="17">
                  <c:v>-0.2648343689407211</c:v>
                </c:pt>
                <c:pt idx="18">
                  <c:v>-0.26837845820579986</c:v>
                </c:pt>
                <c:pt idx="19">
                  <c:v>-0.26837845820579986</c:v>
                </c:pt>
                <c:pt idx="20">
                  <c:v>-0.26983287219665769</c:v>
                </c:pt>
                <c:pt idx="21">
                  <c:v>-0.27147117761164696</c:v>
                </c:pt>
                <c:pt idx="22">
                  <c:v>-0.26998332881640164</c:v>
                </c:pt>
                <c:pt idx="23">
                  <c:v>-0.26998332881640164</c:v>
                </c:pt>
                <c:pt idx="24">
                  <c:v>-0.28110040127525715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6E-486A-B4C7-B162CE5B703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242</c:v>
                </c:pt>
                <c:pt idx="2">
                  <c:v>260</c:v>
                </c:pt>
                <c:pt idx="3">
                  <c:v>301</c:v>
                </c:pt>
                <c:pt idx="4">
                  <c:v>327</c:v>
                </c:pt>
                <c:pt idx="5">
                  <c:v>358</c:v>
                </c:pt>
                <c:pt idx="6">
                  <c:v>465</c:v>
                </c:pt>
                <c:pt idx="7">
                  <c:v>581</c:v>
                </c:pt>
                <c:pt idx="8">
                  <c:v>583</c:v>
                </c:pt>
                <c:pt idx="9">
                  <c:v>609</c:v>
                </c:pt>
                <c:pt idx="10">
                  <c:v>654</c:v>
                </c:pt>
                <c:pt idx="11">
                  <c:v>668</c:v>
                </c:pt>
                <c:pt idx="12">
                  <c:v>709</c:v>
                </c:pt>
                <c:pt idx="13">
                  <c:v>768</c:v>
                </c:pt>
                <c:pt idx="14">
                  <c:v>851</c:v>
                </c:pt>
                <c:pt idx="15">
                  <c:v>853</c:v>
                </c:pt>
                <c:pt idx="16">
                  <c:v>7580</c:v>
                </c:pt>
                <c:pt idx="17">
                  <c:v>7779</c:v>
                </c:pt>
                <c:pt idx="18">
                  <c:v>7991</c:v>
                </c:pt>
                <c:pt idx="19">
                  <c:v>7991</c:v>
                </c:pt>
                <c:pt idx="20">
                  <c:v>8078</c:v>
                </c:pt>
                <c:pt idx="21">
                  <c:v>8176</c:v>
                </c:pt>
                <c:pt idx="22">
                  <c:v>8087</c:v>
                </c:pt>
                <c:pt idx="23">
                  <c:v>8087</c:v>
                </c:pt>
                <c:pt idx="24">
                  <c:v>8752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46E-486A-B4C7-B162CE5B7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0317792"/>
        <c:axId val="1"/>
      </c:scatterChart>
      <c:valAx>
        <c:axId val="700317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9357798165137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0317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013761467889909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19</xdr:col>
      <xdr:colOff>533400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E0FD46D-9D6B-096B-89C4-2D1031CD3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bav-astro.de/LkDB/index.php?lang=en&amp;sprache_dial=en" TargetMode="External"/><Relationship Id="rId5" Type="http://schemas.openxmlformats.org/officeDocument/2006/relationships/hyperlink" Target="http://www.bav-astro.de/sfs/BAVM_link.php?BAVMnr=239" TargetMode="External"/><Relationship Id="rId4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8" activePane="bottomRight" state="frozen"/>
      <selection pane="topRight" activeCell="O1" sqref="O1"/>
      <selection pane="bottomLeft" activeCell="A22" sqref="A22"/>
      <selection pane="bottomRight" activeCell="E9" sqref="E9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>
      <c r="A1" s="1" t="s">
        <v>41</v>
      </c>
    </row>
    <row r="2" spans="1:6">
      <c r="A2" t="s">
        <v>25</v>
      </c>
      <c r="B2" t="s">
        <v>40</v>
      </c>
      <c r="D2" s="3"/>
    </row>
    <row r="3" spans="1:6" ht="13.5" thickBot="1"/>
    <row r="4" spans="1:6" ht="14.25" thickTop="1" thickBot="1">
      <c r="A4" s="5" t="s">
        <v>2</v>
      </c>
      <c r="C4" s="8">
        <v>28308.42</v>
      </c>
      <c r="D4" s="9">
        <v>3.54175</v>
      </c>
    </row>
    <row r="5" spans="1:6" ht="13.5" thickTop="1">
      <c r="A5" s="11" t="s">
        <v>30</v>
      </c>
      <c r="B5" s="12"/>
      <c r="C5" s="13">
        <v>-9.5</v>
      </c>
      <c r="D5" s="12" t="s">
        <v>31</v>
      </c>
    </row>
    <row r="6" spans="1:6">
      <c r="A6" s="5" t="s">
        <v>3</v>
      </c>
    </row>
    <row r="7" spans="1:6">
      <c r="A7" t="s">
        <v>4</v>
      </c>
      <c r="C7" s="30">
        <v>28308.42</v>
      </c>
      <c r="D7" s="29" t="s">
        <v>39</v>
      </c>
    </row>
    <row r="8" spans="1:6">
      <c r="A8" t="s">
        <v>5</v>
      </c>
      <c r="C8" s="30">
        <v>3.54175</v>
      </c>
      <c r="D8" s="29" t="s">
        <v>39</v>
      </c>
    </row>
    <row r="9" spans="1:6">
      <c r="A9" s="26" t="s">
        <v>34</v>
      </c>
      <c r="B9" s="27">
        <v>37</v>
      </c>
      <c r="C9" s="24" t="str">
        <f>"F"&amp;B9</f>
        <v>F37</v>
      </c>
      <c r="D9" s="25" t="str">
        <f>"G"&amp;B9</f>
        <v>G37</v>
      </c>
    </row>
    <row r="10" spans="1:6" ht="13.5" thickBot="1">
      <c r="A10" s="12"/>
      <c r="B10" s="12"/>
      <c r="C10" s="4" t="s">
        <v>21</v>
      </c>
      <c r="D10" s="4" t="s">
        <v>22</v>
      </c>
      <c r="E10" s="12"/>
    </row>
    <row r="11" spans="1:6">
      <c r="A11" s="12" t="s">
        <v>17</v>
      </c>
      <c r="B11" s="12"/>
      <c r="C11" s="23">
        <f ca="1">INTERCEPT(INDIRECT($D$9):G992,INDIRECT($C$9):F992)</f>
        <v>-0.13478969727540169</v>
      </c>
      <c r="D11" s="3"/>
      <c r="E11" s="12"/>
    </row>
    <row r="12" spans="1:6">
      <c r="A12" s="12" t="s">
        <v>18</v>
      </c>
      <c r="B12" s="12"/>
      <c r="C12" s="23">
        <f ca="1">SLOPE(INDIRECT($D$9):G992,INDIRECT($C$9):F992)</f>
        <v>-1.6717402193767764E-5</v>
      </c>
      <c r="D12" s="3"/>
      <c r="E12" s="12"/>
    </row>
    <row r="13" spans="1:6">
      <c r="A13" s="12" t="s">
        <v>20</v>
      </c>
      <c r="B13" s="12"/>
      <c r="C13" s="3" t="s">
        <v>15</v>
      </c>
    </row>
    <row r="14" spans="1:6">
      <c r="A14" s="12"/>
      <c r="B14" s="12"/>
      <c r="C14" s="12"/>
    </row>
    <row r="15" spans="1:6">
      <c r="A15" s="14" t="s">
        <v>19</v>
      </c>
      <c r="B15" s="12"/>
      <c r="C15" s="15">
        <f ca="1">(C7+C11)+(C8+C12)*INT(MAX(F21:F3533))</f>
        <v>59305.534899598722</v>
      </c>
      <c r="E15" s="16" t="s">
        <v>35</v>
      </c>
      <c r="F15" s="13">
        <v>1</v>
      </c>
    </row>
    <row r="16" spans="1:6">
      <c r="A16" s="18" t="s">
        <v>6</v>
      </c>
      <c r="B16" s="12"/>
      <c r="C16" s="19">
        <f ca="1">+C8+C12</f>
        <v>3.5417332825978063</v>
      </c>
      <c r="E16" s="16" t="s">
        <v>32</v>
      </c>
      <c r="F16" s="17">
        <f ca="1">NOW()+15018.5+$C$5/24</f>
        <v>60328.741421412036</v>
      </c>
    </row>
    <row r="17" spans="1:21" ht="13.5" thickBot="1">
      <c r="A17" s="16" t="s">
        <v>29</v>
      </c>
      <c r="B17" s="12"/>
      <c r="C17" s="12">
        <f>COUNT(C21:C2191)</f>
        <v>25</v>
      </c>
      <c r="E17" s="16" t="s">
        <v>36</v>
      </c>
      <c r="F17" s="17">
        <f ca="1">ROUND(2*(F16-$C$7)/$C$8,0)/2+F15</f>
        <v>9042</v>
      </c>
    </row>
    <row r="18" spans="1:21" ht="14.25" thickTop="1" thickBot="1">
      <c r="A18" s="18" t="s">
        <v>7</v>
      </c>
      <c r="B18" s="12"/>
      <c r="C18" s="21">
        <f ca="1">+C15</f>
        <v>59305.534899598722</v>
      </c>
      <c r="D18" s="22">
        <f ca="1">+C16</f>
        <v>3.5417332825978063</v>
      </c>
      <c r="E18" s="16" t="s">
        <v>37</v>
      </c>
      <c r="F18" s="25">
        <f ca="1">ROUND(2*(F16-$C$15)/$C$16,0)/2+F15</f>
        <v>290</v>
      </c>
    </row>
    <row r="19" spans="1:21" ht="13.5" thickTop="1">
      <c r="E19" s="16" t="s">
        <v>33</v>
      </c>
      <c r="F19" s="20">
        <f ca="1">+$C$15+$C$16*F18-15018.5-$C$5/24</f>
        <v>45314.533384885421</v>
      </c>
    </row>
    <row r="20" spans="1:21" ht="13.5" thickBot="1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52</v>
      </c>
      <c r="I20" s="7" t="s">
        <v>55</v>
      </c>
      <c r="J20" s="7" t="s">
        <v>49</v>
      </c>
      <c r="K20" s="7" t="s">
        <v>47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R20" s="4"/>
      <c r="S20" s="4"/>
      <c r="T20" s="4"/>
      <c r="U20" s="28" t="s">
        <v>38</v>
      </c>
    </row>
    <row r="21" spans="1:21">
      <c r="A21" s="29" t="s">
        <v>39</v>
      </c>
      <c r="C21" s="10">
        <f>+C$7</f>
        <v>28308.42</v>
      </c>
      <c r="D21" s="10" t="s">
        <v>15</v>
      </c>
      <c r="E21">
        <f t="shared" ref="E21:E41" si="0">+(C21-C$7)/C$8</f>
        <v>0</v>
      </c>
      <c r="F21">
        <f t="shared" ref="F21:F43" si="1">ROUND(2*E21,0)/2</f>
        <v>0</v>
      </c>
      <c r="G21">
        <f t="shared" ref="G21:G41" si="2">+C21-(C$7+F21*C$8)</f>
        <v>0</v>
      </c>
      <c r="H21">
        <f t="shared" ref="H21:H36" si="3">+G21</f>
        <v>0</v>
      </c>
      <c r="O21">
        <f t="shared" ref="O21:O41" ca="1" si="4">+C$11+C$12*$F21</f>
        <v>-0.13478969727540169</v>
      </c>
      <c r="Q21" s="2">
        <f t="shared" ref="Q21:Q41" si="5">+C21-15018.5</f>
        <v>13289.919999999998</v>
      </c>
      <c r="R21" s="2"/>
      <c r="S21" s="2"/>
      <c r="T21" s="2"/>
    </row>
    <row r="22" spans="1:21">
      <c r="A22" s="50" t="s">
        <v>61</v>
      </c>
      <c r="B22" s="51" t="s">
        <v>43</v>
      </c>
      <c r="C22" s="50">
        <v>29165.599999999999</v>
      </c>
      <c r="D22" s="50" t="s">
        <v>55</v>
      </c>
      <c r="E22">
        <f t="shared" si="0"/>
        <v>242.02159949177675</v>
      </c>
      <c r="F22">
        <f t="shared" si="1"/>
        <v>242</v>
      </c>
      <c r="G22">
        <f t="shared" si="2"/>
        <v>7.6499999999214197E-2</v>
      </c>
      <c r="H22">
        <f t="shared" si="3"/>
        <v>7.6499999999214197E-2</v>
      </c>
      <c r="O22">
        <f t="shared" ca="1" si="4"/>
        <v>-0.13883530860629348</v>
      </c>
      <c r="Q22" s="2">
        <f t="shared" si="5"/>
        <v>14147.099999999999</v>
      </c>
      <c r="R22" s="2"/>
      <c r="S22" s="2"/>
      <c r="T22" s="2"/>
    </row>
    <row r="23" spans="1:21">
      <c r="A23" s="50" t="s">
        <v>61</v>
      </c>
      <c r="B23" s="51" t="s">
        <v>43</v>
      </c>
      <c r="C23" s="50">
        <v>29229.45</v>
      </c>
      <c r="D23" s="50" t="s">
        <v>55</v>
      </c>
      <c r="E23">
        <f t="shared" si="0"/>
        <v>260.04941060210416</v>
      </c>
      <c r="F23">
        <f t="shared" si="1"/>
        <v>260</v>
      </c>
      <c r="G23">
        <f t="shared" si="2"/>
        <v>0.17500000000291038</v>
      </c>
      <c r="H23">
        <f t="shared" si="3"/>
        <v>0.17500000000291038</v>
      </c>
      <c r="O23">
        <f t="shared" ca="1" si="4"/>
        <v>-0.13913622184578131</v>
      </c>
      <c r="Q23" s="2">
        <f t="shared" si="5"/>
        <v>14210.95</v>
      </c>
      <c r="R23" s="2"/>
      <c r="S23" s="2"/>
      <c r="T23" s="2"/>
    </row>
    <row r="24" spans="1:21">
      <c r="A24" s="50" t="s">
        <v>61</v>
      </c>
      <c r="B24" s="51" t="s">
        <v>43</v>
      </c>
      <c r="C24" s="50">
        <v>29374.46</v>
      </c>
      <c r="D24" s="50" t="s">
        <v>55</v>
      </c>
      <c r="E24">
        <f t="shared" si="0"/>
        <v>300.99244723653584</v>
      </c>
      <c r="F24">
        <f t="shared" si="1"/>
        <v>301</v>
      </c>
      <c r="G24">
        <f t="shared" si="2"/>
        <v>-2.674999999726424E-2</v>
      </c>
      <c r="H24">
        <f t="shared" si="3"/>
        <v>-2.674999999726424E-2</v>
      </c>
      <c r="O24">
        <f t="shared" ca="1" si="4"/>
        <v>-0.13982163533572578</v>
      </c>
      <c r="Q24" s="2">
        <f t="shared" si="5"/>
        <v>14355.96</v>
      </c>
      <c r="R24" s="2"/>
      <c r="S24" s="2"/>
      <c r="T24" s="2"/>
    </row>
    <row r="25" spans="1:21">
      <c r="A25" s="50" t="s">
        <v>61</v>
      </c>
      <c r="B25" s="51" t="s">
        <v>43</v>
      </c>
      <c r="C25" s="50">
        <v>29466.49</v>
      </c>
      <c r="D25" s="50" t="s">
        <v>55</v>
      </c>
      <c r="E25">
        <f t="shared" si="0"/>
        <v>326.9767770170123</v>
      </c>
      <c r="F25">
        <f t="shared" si="1"/>
        <v>327</v>
      </c>
      <c r="G25">
        <f t="shared" si="2"/>
        <v>-8.2249999995838152E-2</v>
      </c>
      <c r="H25">
        <f t="shared" si="3"/>
        <v>-8.2249999995838152E-2</v>
      </c>
      <c r="O25">
        <f t="shared" ca="1" si="4"/>
        <v>-0.14025628779276375</v>
      </c>
      <c r="Q25" s="2">
        <f t="shared" si="5"/>
        <v>14447.990000000002</v>
      </c>
      <c r="R25" s="2"/>
      <c r="S25" s="2"/>
      <c r="T25" s="2"/>
    </row>
    <row r="26" spans="1:21">
      <c r="A26" s="50" t="s">
        <v>61</v>
      </c>
      <c r="B26" s="51" t="s">
        <v>43</v>
      </c>
      <c r="C26" s="50">
        <v>29576.39</v>
      </c>
      <c r="D26" s="50" t="s">
        <v>55</v>
      </c>
      <c r="E26">
        <f t="shared" si="0"/>
        <v>358.00663513799708</v>
      </c>
      <c r="F26">
        <f t="shared" si="1"/>
        <v>358</v>
      </c>
      <c r="G26">
        <f t="shared" si="2"/>
        <v>2.3500000002968591E-2</v>
      </c>
      <c r="H26">
        <f t="shared" si="3"/>
        <v>2.3500000002968591E-2</v>
      </c>
      <c r="O26">
        <f t="shared" ca="1" si="4"/>
        <v>-0.14077452726077055</v>
      </c>
      <c r="Q26" s="2">
        <f t="shared" si="5"/>
        <v>14557.89</v>
      </c>
      <c r="R26" s="2"/>
      <c r="S26" s="2"/>
      <c r="T26" s="2"/>
    </row>
    <row r="27" spans="1:21">
      <c r="A27" s="50" t="s">
        <v>61</v>
      </c>
      <c r="B27" s="51" t="s">
        <v>43</v>
      </c>
      <c r="C27" s="50">
        <v>29955.360000000001</v>
      </c>
      <c r="D27" s="50" t="s">
        <v>55</v>
      </c>
      <c r="E27">
        <f t="shared" si="0"/>
        <v>465.00741159031617</v>
      </c>
      <c r="F27">
        <f t="shared" si="1"/>
        <v>465</v>
      </c>
      <c r="G27">
        <f t="shared" si="2"/>
        <v>2.6250000002619345E-2</v>
      </c>
      <c r="H27">
        <f t="shared" si="3"/>
        <v>2.6250000002619345E-2</v>
      </c>
      <c r="O27">
        <f t="shared" ca="1" si="4"/>
        <v>-0.14256328929550369</v>
      </c>
      <c r="Q27" s="2">
        <f t="shared" si="5"/>
        <v>14936.86</v>
      </c>
      <c r="R27" s="2"/>
      <c r="S27" s="2"/>
      <c r="T27" s="2"/>
    </row>
    <row r="28" spans="1:21">
      <c r="A28" s="50" t="s">
        <v>61</v>
      </c>
      <c r="B28" s="51" t="s">
        <v>43</v>
      </c>
      <c r="C28" s="50">
        <v>30366.29</v>
      </c>
      <c r="D28" s="50" t="s">
        <v>55</v>
      </c>
      <c r="E28">
        <f t="shared" si="0"/>
        <v>581.03197571821909</v>
      </c>
      <c r="F28">
        <f t="shared" si="1"/>
        <v>581</v>
      </c>
      <c r="G28">
        <f t="shared" si="2"/>
        <v>0.11325000000215368</v>
      </c>
      <c r="H28">
        <f t="shared" si="3"/>
        <v>0.11325000000215368</v>
      </c>
      <c r="O28">
        <f t="shared" ca="1" si="4"/>
        <v>-0.14450250794998076</v>
      </c>
      <c r="Q28" s="2">
        <f t="shared" si="5"/>
        <v>15347.79</v>
      </c>
      <c r="R28" s="2"/>
      <c r="S28" s="2"/>
      <c r="T28" s="2"/>
    </row>
    <row r="29" spans="1:21">
      <c r="A29" s="50" t="s">
        <v>61</v>
      </c>
      <c r="B29" s="51" t="s">
        <v>43</v>
      </c>
      <c r="C29" s="50">
        <v>30373.26</v>
      </c>
      <c r="D29" s="50" t="s">
        <v>55</v>
      </c>
      <c r="E29">
        <f t="shared" si="0"/>
        <v>582.99992941342566</v>
      </c>
      <c r="F29">
        <f t="shared" si="1"/>
        <v>583</v>
      </c>
      <c r="G29">
        <f t="shared" si="2"/>
        <v>-2.5000000096042641E-4</v>
      </c>
      <c r="H29">
        <f t="shared" si="3"/>
        <v>-2.5000000096042641E-4</v>
      </c>
      <c r="O29">
        <f t="shared" ca="1" si="4"/>
        <v>-0.14453594275436829</v>
      </c>
      <c r="Q29" s="2">
        <f t="shared" si="5"/>
        <v>15354.759999999998</v>
      </c>
      <c r="R29" s="2"/>
      <c r="S29" s="2"/>
      <c r="T29" s="2"/>
    </row>
    <row r="30" spans="1:21">
      <c r="A30" s="50" t="s">
        <v>61</v>
      </c>
      <c r="B30" s="51" t="s">
        <v>43</v>
      </c>
      <c r="C30" s="50">
        <v>30465.439999999999</v>
      </c>
      <c r="D30" s="50" t="s">
        <v>55</v>
      </c>
      <c r="E30">
        <f t="shared" si="0"/>
        <v>609.02661113856152</v>
      </c>
      <c r="F30">
        <f t="shared" si="1"/>
        <v>609</v>
      </c>
      <c r="G30">
        <f t="shared" si="2"/>
        <v>9.4250000001920853E-2</v>
      </c>
      <c r="H30">
        <f t="shared" si="3"/>
        <v>9.4250000001920853E-2</v>
      </c>
      <c r="O30">
        <f t="shared" ca="1" si="4"/>
        <v>-0.14497059521140626</v>
      </c>
      <c r="Q30" s="2">
        <f t="shared" si="5"/>
        <v>15446.939999999999</v>
      </c>
      <c r="R30" s="2"/>
      <c r="S30" s="2"/>
      <c r="T30" s="2"/>
    </row>
    <row r="31" spans="1:21">
      <c r="A31" s="50" t="s">
        <v>61</v>
      </c>
      <c r="B31" s="51" t="s">
        <v>43</v>
      </c>
      <c r="C31" s="50">
        <v>30624.61</v>
      </c>
      <c r="D31" s="50" t="s">
        <v>55</v>
      </c>
      <c r="E31">
        <f t="shared" si="0"/>
        <v>653.96767134891013</v>
      </c>
      <c r="F31">
        <f t="shared" si="1"/>
        <v>654</v>
      </c>
      <c r="G31">
        <f t="shared" si="2"/>
        <v>-0.11449999999604188</v>
      </c>
      <c r="H31">
        <f t="shared" si="3"/>
        <v>-0.11449999999604188</v>
      </c>
      <c r="O31">
        <f t="shared" ca="1" si="4"/>
        <v>-0.14572287831012581</v>
      </c>
      <c r="Q31" s="2">
        <f t="shared" si="5"/>
        <v>15606.11</v>
      </c>
      <c r="R31" s="2"/>
      <c r="S31" s="2"/>
      <c r="T31" s="2"/>
    </row>
    <row r="32" spans="1:21">
      <c r="A32" s="50" t="s">
        <v>61</v>
      </c>
      <c r="B32" s="51" t="s">
        <v>43</v>
      </c>
      <c r="C32" s="50">
        <v>30674.42</v>
      </c>
      <c r="D32" s="50" t="s">
        <v>55</v>
      </c>
      <c r="E32">
        <f t="shared" si="0"/>
        <v>668.03134043904845</v>
      </c>
      <c r="F32">
        <f t="shared" si="1"/>
        <v>668</v>
      </c>
      <c r="G32">
        <f t="shared" si="2"/>
        <v>0.1110000000007858</v>
      </c>
      <c r="H32">
        <f t="shared" si="3"/>
        <v>0.1110000000007858</v>
      </c>
      <c r="O32">
        <f t="shared" ca="1" si="4"/>
        <v>-0.14595692194083856</v>
      </c>
      <c r="Q32" s="2">
        <f t="shared" si="5"/>
        <v>15655.919999999998</v>
      </c>
      <c r="R32" s="2"/>
      <c r="S32" s="2"/>
      <c r="T32" s="2"/>
    </row>
    <row r="33" spans="1:20">
      <c r="A33" s="50" t="s">
        <v>61</v>
      </c>
      <c r="B33" s="51" t="s">
        <v>43</v>
      </c>
      <c r="C33" s="50">
        <v>30819.439999999999</v>
      </c>
      <c r="D33" s="50" t="s">
        <v>55</v>
      </c>
      <c r="E33">
        <f t="shared" si="0"/>
        <v>708.9772005364581</v>
      </c>
      <c r="F33">
        <f t="shared" si="1"/>
        <v>709</v>
      </c>
      <c r="G33">
        <f t="shared" si="2"/>
        <v>-8.075000000098953E-2</v>
      </c>
      <c r="H33">
        <f t="shared" si="3"/>
        <v>-8.075000000098953E-2</v>
      </c>
      <c r="O33">
        <f t="shared" ca="1" si="4"/>
        <v>-0.14664233543078303</v>
      </c>
      <c r="Q33" s="2">
        <f t="shared" si="5"/>
        <v>15800.939999999999</v>
      </c>
      <c r="R33" s="2"/>
      <c r="S33" s="2"/>
      <c r="T33" s="2"/>
    </row>
    <row r="34" spans="1:20">
      <c r="A34" s="50" t="s">
        <v>61</v>
      </c>
      <c r="B34" s="51" t="s">
        <v>43</v>
      </c>
      <c r="C34" s="50">
        <v>31028.53</v>
      </c>
      <c r="D34" s="50" t="s">
        <v>55</v>
      </c>
      <c r="E34">
        <f t="shared" si="0"/>
        <v>768.0129879296959</v>
      </c>
      <c r="F34">
        <f t="shared" si="1"/>
        <v>768</v>
      </c>
      <c r="G34">
        <f t="shared" si="2"/>
        <v>4.6000000002095476E-2</v>
      </c>
      <c r="H34">
        <f t="shared" si="3"/>
        <v>4.6000000002095476E-2</v>
      </c>
      <c r="O34">
        <f t="shared" ca="1" si="4"/>
        <v>-0.14762866216021533</v>
      </c>
      <c r="Q34" s="2">
        <f t="shared" si="5"/>
        <v>16010.029999999999</v>
      </c>
      <c r="R34" s="2"/>
      <c r="S34" s="2"/>
      <c r="T34" s="2"/>
    </row>
    <row r="35" spans="1:20">
      <c r="A35" s="50" t="s">
        <v>61</v>
      </c>
      <c r="B35" s="51" t="s">
        <v>43</v>
      </c>
      <c r="C35" s="50">
        <v>31322.42</v>
      </c>
      <c r="D35" s="50" t="s">
        <v>55</v>
      </c>
      <c r="E35">
        <f t="shared" si="0"/>
        <v>850.99174137079126</v>
      </c>
      <c r="F35">
        <f t="shared" si="1"/>
        <v>851</v>
      </c>
      <c r="G35">
        <f t="shared" si="2"/>
        <v>-2.9249999999592546E-2</v>
      </c>
      <c r="H35">
        <f t="shared" si="3"/>
        <v>-2.9249999999592546E-2</v>
      </c>
      <c r="O35">
        <f t="shared" ca="1" si="4"/>
        <v>-0.14901620654229805</v>
      </c>
      <c r="Q35" s="2">
        <f t="shared" si="5"/>
        <v>16303.919999999998</v>
      </c>
      <c r="R35" s="2"/>
      <c r="S35" s="2"/>
      <c r="T35" s="2"/>
    </row>
    <row r="36" spans="1:20">
      <c r="A36" s="50" t="s">
        <v>61</v>
      </c>
      <c r="B36" s="51" t="s">
        <v>43</v>
      </c>
      <c r="C36" s="50">
        <v>31329.56</v>
      </c>
      <c r="D36" s="50" t="s">
        <v>55</v>
      </c>
      <c r="E36">
        <f t="shared" si="0"/>
        <v>853.00769393661415</v>
      </c>
      <c r="F36">
        <f t="shared" si="1"/>
        <v>853</v>
      </c>
      <c r="G36">
        <f t="shared" si="2"/>
        <v>2.7250000002823072E-2</v>
      </c>
      <c r="H36">
        <f t="shared" si="3"/>
        <v>2.7250000002823072E-2</v>
      </c>
      <c r="O36">
        <f t="shared" ca="1" si="4"/>
        <v>-0.14904964134668558</v>
      </c>
      <c r="Q36" s="2">
        <f t="shared" si="5"/>
        <v>16311.060000000001</v>
      </c>
      <c r="R36" s="2"/>
      <c r="S36" s="2"/>
      <c r="T36" s="2"/>
    </row>
    <row r="37" spans="1:20">
      <c r="A37" s="50" t="s">
        <v>110</v>
      </c>
      <c r="B37" s="51" t="s">
        <v>43</v>
      </c>
      <c r="C37" s="50">
        <v>55154.643199999999</v>
      </c>
      <c r="D37" s="50" t="s">
        <v>55</v>
      </c>
      <c r="E37">
        <f t="shared" si="0"/>
        <v>7579.9317286652076</v>
      </c>
      <c r="F37">
        <f t="shared" si="1"/>
        <v>7580</v>
      </c>
      <c r="G37">
        <f t="shared" si="2"/>
        <v>-0.24179999999614665</v>
      </c>
      <c r="K37">
        <f>+G37</f>
        <v>-0.24179999999614665</v>
      </c>
      <c r="O37">
        <f t="shared" ca="1" si="4"/>
        <v>-0.26150760590416133</v>
      </c>
      <c r="Q37" s="2">
        <f t="shared" si="5"/>
        <v>40136.143199999999</v>
      </c>
      <c r="R37" s="2"/>
      <c r="S37" s="2"/>
      <c r="T37" s="2"/>
    </row>
    <row r="38" spans="1:20">
      <c r="A38" s="50" t="s">
        <v>115</v>
      </c>
      <c r="B38" s="51" t="s">
        <v>43</v>
      </c>
      <c r="C38" s="50">
        <v>55859.436099999999</v>
      </c>
      <c r="D38" s="50" t="s">
        <v>55</v>
      </c>
      <c r="E38">
        <f t="shared" si="0"/>
        <v>7778.9273946495377</v>
      </c>
      <c r="F38">
        <f t="shared" si="1"/>
        <v>7779</v>
      </c>
      <c r="G38">
        <f t="shared" si="2"/>
        <v>-0.25714999999763677</v>
      </c>
      <c r="K38">
        <f>+G38</f>
        <v>-0.25714999999763677</v>
      </c>
      <c r="O38">
        <f t="shared" ca="1" si="4"/>
        <v>-0.2648343689407211</v>
      </c>
      <c r="Q38" s="2">
        <f t="shared" si="5"/>
        <v>40840.936099999999</v>
      </c>
      <c r="R38" s="2"/>
      <c r="S38" s="2"/>
      <c r="T38" s="2"/>
    </row>
    <row r="39" spans="1:20">
      <c r="A39" s="32" t="s">
        <v>42</v>
      </c>
      <c r="B39" s="33" t="s">
        <v>43</v>
      </c>
      <c r="C39" s="34">
        <v>56610.26</v>
      </c>
      <c r="D39" s="35">
        <v>2.2000000000000001E-3</v>
      </c>
      <c r="E39">
        <f t="shared" si="0"/>
        <v>7990.9197430648701</v>
      </c>
      <c r="F39">
        <f t="shared" si="1"/>
        <v>7991</v>
      </c>
      <c r="G39">
        <f t="shared" si="2"/>
        <v>-0.2842499999969732</v>
      </c>
      <c r="J39">
        <f>+G39</f>
        <v>-0.2842499999969732</v>
      </c>
      <c r="O39">
        <f t="shared" ca="1" si="4"/>
        <v>-0.26837845820579986</v>
      </c>
      <c r="Q39" s="2">
        <f t="shared" si="5"/>
        <v>41591.760000000002</v>
      </c>
      <c r="R39" s="2"/>
      <c r="S39" s="2"/>
      <c r="T39" s="2"/>
    </row>
    <row r="40" spans="1:20">
      <c r="A40" s="50" t="s">
        <v>122</v>
      </c>
      <c r="B40" s="51" t="s">
        <v>43</v>
      </c>
      <c r="C40" s="50">
        <v>56610.267899999999</v>
      </c>
      <c r="D40" s="50" t="s">
        <v>55</v>
      </c>
      <c r="E40">
        <f t="shared" si="0"/>
        <v>7990.9219736006216</v>
      </c>
      <c r="F40">
        <f t="shared" si="1"/>
        <v>7991</v>
      </c>
      <c r="G40">
        <f t="shared" si="2"/>
        <v>-0.27635000000009313</v>
      </c>
      <c r="K40">
        <f>+G40</f>
        <v>-0.27635000000009313</v>
      </c>
      <c r="O40">
        <f t="shared" ca="1" si="4"/>
        <v>-0.26837845820579986</v>
      </c>
      <c r="Q40" s="2">
        <f t="shared" si="5"/>
        <v>41591.767899999999</v>
      </c>
      <c r="R40" s="2"/>
      <c r="S40" s="2"/>
      <c r="T40" s="2"/>
    </row>
    <row r="41" spans="1:20">
      <c r="A41" s="31" t="s">
        <v>44</v>
      </c>
      <c r="B41" s="36"/>
      <c r="C41" s="31">
        <v>56918.395900000003</v>
      </c>
      <c r="D41" s="31">
        <v>2.0000000000000001E-4</v>
      </c>
      <c r="E41">
        <f t="shared" si="0"/>
        <v>8077.9207736288572</v>
      </c>
      <c r="F41">
        <f t="shared" si="1"/>
        <v>8078</v>
      </c>
      <c r="G41">
        <f t="shared" si="2"/>
        <v>-0.28059999999823049</v>
      </c>
      <c r="J41">
        <f>+G41</f>
        <v>-0.28059999999823049</v>
      </c>
      <c r="O41">
        <f t="shared" ca="1" si="4"/>
        <v>-0.26983287219665769</v>
      </c>
      <c r="Q41" s="2">
        <f t="shared" si="5"/>
        <v>41899.895900000003</v>
      </c>
      <c r="R41" s="2"/>
      <c r="S41" s="2"/>
      <c r="T41" s="2"/>
    </row>
    <row r="42" spans="1:20">
      <c r="A42" s="53" t="s">
        <v>0</v>
      </c>
      <c r="B42" s="54" t="s">
        <v>43</v>
      </c>
      <c r="C42" s="55">
        <v>57265.496500000001</v>
      </c>
      <c r="D42" s="55" t="s">
        <v>1</v>
      </c>
      <c r="E42">
        <f>+(C42-C$7)/C$8</f>
        <v>8175.9233429801661</v>
      </c>
      <c r="F42">
        <f t="shared" si="1"/>
        <v>8176</v>
      </c>
      <c r="G42">
        <f>+C42-(C$7+F42*C$8)</f>
        <v>-0.27149999999528518</v>
      </c>
      <c r="K42">
        <f>+G42</f>
        <v>-0.27149999999528518</v>
      </c>
      <c r="O42">
        <f ca="1">+C$11+C$12*$F42</f>
        <v>-0.27147117761164696</v>
      </c>
      <c r="Q42" s="2">
        <f>+C42-15018.5</f>
        <v>42246.996500000001</v>
      </c>
    </row>
    <row r="43" spans="1:20">
      <c r="A43" s="56" t="s">
        <v>128</v>
      </c>
      <c r="B43" s="57" t="s">
        <v>43</v>
      </c>
      <c r="C43" s="58">
        <v>56950.277020000001</v>
      </c>
      <c r="D43" s="58">
        <v>2.2000000000000001E-3</v>
      </c>
      <c r="E43">
        <f>+(C43-C$7)/C$8</f>
        <v>8086.9222898284752</v>
      </c>
      <c r="F43">
        <f t="shared" si="1"/>
        <v>8087</v>
      </c>
      <c r="G43">
        <f>+C43-(C$7+F43*C$8)</f>
        <v>-0.27522999999200692</v>
      </c>
      <c r="K43">
        <f>+G43</f>
        <v>-0.27522999999200692</v>
      </c>
      <c r="O43">
        <f ca="1">+C$11+C$12*$F43</f>
        <v>-0.26998332881640164</v>
      </c>
      <c r="Q43" s="2">
        <f>+C43-15018.5</f>
        <v>41931.777020000001</v>
      </c>
    </row>
    <row r="44" spans="1:20">
      <c r="A44" s="56" t="s">
        <v>128</v>
      </c>
      <c r="B44" s="57" t="s">
        <v>43</v>
      </c>
      <c r="C44" s="58">
        <v>56950.279759999998</v>
      </c>
      <c r="D44" s="58">
        <v>1.6999999999999999E-3</v>
      </c>
      <c r="E44">
        <f>+(C44-C$7)/C$8</f>
        <v>8086.9230634573305</v>
      </c>
      <c r="F44">
        <f t="shared" ref="F44" si="6">ROUND(2*E44,0)/2</f>
        <v>8087</v>
      </c>
      <c r="G44">
        <f>+C44-(C$7+F44*C$8)</f>
        <v>-0.27248999999574153</v>
      </c>
      <c r="K44">
        <f>+G44</f>
        <v>-0.27248999999574153</v>
      </c>
      <c r="O44">
        <f ca="1">+C$11+C$12*$F44</f>
        <v>-0.26998332881640164</v>
      </c>
      <c r="Q44" s="2">
        <f>+C44-15018.5</f>
        <v>41931.779759999998</v>
      </c>
    </row>
    <row r="45" spans="1:20">
      <c r="A45" s="59" t="s">
        <v>129</v>
      </c>
      <c r="B45" s="60" t="s">
        <v>130</v>
      </c>
      <c r="C45" s="61">
        <v>59305.549899999998</v>
      </c>
      <c r="D45" s="59">
        <v>2.0000000000000001E-4</v>
      </c>
      <c r="E45">
        <f>+(C45-C$7)/C$8</f>
        <v>8751.9248676501738</v>
      </c>
      <c r="F45">
        <f t="shared" ref="F45" si="7">ROUND(2*E45,0)/2</f>
        <v>8752</v>
      </c>
      <c r="G45">
        <f>+C45-(C$7+F45*C$8)</f>
        <v>-0.26610000000073342</v>
      </c>
      <c r="K45">
        <f>+G45</f>
        <v>-0.26610000000073342</v>
      </c>
      <c r="O45">
        <f ca="1">+C$11+C$12*$F45</f>
        <v>-0.28110040127525715</v>
      </c>
      <c r="Q45" s="2">
        <f>+C45-15018.5</f>
        <v>44287.049899999998</v>
      </c>
    </row>
    <row r="46" spans="1:20">
      <c r="B46" s="52"/>
      <c r="C46" s="10"/>
      <c r="D46" s="10"/>
    </row>
    <row r="47" spans="1:20">
      <c r="C47" s="10"/>
      <c r="D47" s="10"/>
    </row>
    <row r="48" spans="1:20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8" type="noConversion"/>
  <hyperlinks>
    <hyperlink ref="H2407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6"/>
  <sheetViews>
    <sheetView topLeftCell="A6" workbookViewId="0">
      <selection activeCell="A13" sqref="A13:D30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7" t="s">
        <v>45</v>
      </c>
      <c r="I1" s="38" t="s">
        <v>46</v>
      </c>
      <c r="J1" s="39" t="s">
        <v>47</v>
      </c>
    </row>
    <row r="2" spans="1:16">
      <c r="I2" s="40" t="s">
        <v>48</v>
      </c>
      <c r="J2" s="41" t="s">
        <v>49</v>
      </c>
    </row>
    <row r="3" spans="1:16">
      <c r="A3" s="42" t="s">
        <v>50</v>
      </c>
      <c r="I3" s="40" t="s">
        <v>51</v>
      </c>
      <c r="J3" s="41" t="s">
        <v>52</v>
      </c>
    </row>
    <row r="4" spans="1:16">
      <c r="I4" s="40" t="s">
        <v>53</v>
      </c>
      <c r="J4" s="41" t="s">
        <v>52</v>
      </c>
    </row>
    <row r="5" spans="1:16" ht="13.5" thickBot="1">
      <c r="I5" s="43" t="s">
        <v>54</v>
      </c>
      <c r="J5" s="44" t="s">
        <v>55</v>
      </c>
    </row>
    <row r="10" spans="1:16" ht="13.5" thickBot="1"/>
    <row r="11" spans="1:16" ht="12.75" customHeight="1" thickBot="1">
      <c r="A11" s="10" t="str">
        <f t="shared" ref="A11:A30" si="0">P11</f>
        <v> VSS 1.67 </v>
      </c>
      <c r="B11" s="3" t="str">
        <f t="shared" ref="B11:B30" si="1">IF(H11=INT(H11),"I","II")</f>
        <v>I</v>
      </c>
      <c r="C11" s="10">
        <f t="shared" ref="C11:C30" si="2">1*G11</f>
        <v>28308.42</v>
      </c>
      <c r="D11" s="12" t="str">
        <f t="shared" ref="D11:D30" si="3">VLOOKUP(F11,I$1:J$5,2,FALSE)</f>
        <v>vis</v>
      </c>
      <c r="E11" s="45">
        <f>VLOOKUP(C11,Active!C$21:E$973,3,FALSE)</f>
        <v>0</v>
      </c>
      <c r="F11" s="3" t="s">
        <v>54</v>
      </c>
      <c r="G11" s="12" t="str">
        <f t="shared" ref="G11:G30" si="4">MID(I11,3,LEN(I11)-3)</f>
        <v>28308.42</v>
      </c>
      <c r="H11" s="10">
        <f t="shared" ref="H11:H30" si="5">1*K11</f>
        <v>0</v>
      </c>
      <c r="I11" s="46" t="s">
        <v>56</v>
      </c>
      <c r="J11" s="47" t="s">
        <v>57</v>
      </c>
      <c r="K11" s="46">
        <v>0</v>
      </c>
      <c r="L11" s="46" t="s">
        <v>58</v>
      </c>
      <c r="M11" s="47" t="s">
        <v>59</v>
      </c>
      <c r="N11" s="47"/>
      <c r="O11" s="48" t="s">
        <v>60</v>
      </c>
      <c r="P11" s="48" t="s">
        <v>61</v>
      </c>
    </row>
    <row r="12" spans="1:16" ht="12.75" customHeight="1" thickBot="1">
      <c r="A12" s="10" t="str">
        <f t="shared" si="0"/>
        <v>BAVM 239 </v>
      </c>
      <c r="B12" s="3" t="str">
        <f t="shared" si="1"/>
        <v>I</v>
      </c>
      <c r="C12" s="10">
        <f t="shared" si="2"/>
        <v>56918.395900000003</v>
      </c>
      <c r="D12" s="12" t="str">
        <f t="shared" si="3"/>
        <v>vis</v>
      </c>
      <c r="E12" s="45">
        <f>VLOOKUP(C12,Active!C$21:E$973,3,FALSE)</f>
        <v>8077.9207736288572</v>
      </c>
      <c r="F12" s="3" t="s">
        <v>54</v>
      </c>
      <c r="G12" s="12" t="str">
        <f t="shared" si="4"/>
        <v>56918.3959</v>
      </c>
      <c r="H12" s="10">
        <f t="shared" si="5"/>
        <v>8078</v>
      </c>
      <c r="I12" s="46" t="s">
        <v>123</v>
      </c>
      <c r="J12" s="47" t="s">
        <v>124</v>
      </c>
      <c r="K12" s="46" t="s">
        <v>125</v>
      </c>
      <c r="L12" s="46" t="s">
        <v>126</v>
      </c>
      <c r="M12" s="47" t="s">
        <v>107</v>
      </c>
      <c r="N12" s="47" t="s">
        <v>120</v>
      </c>
      <c r="O12" s="48" t="s">
        <v>121</v>
      </c>
      <c r="P12" s="49" t="s">
        <v>127</v>
      </c>
    </row>
    <row r="13" spans="1:16" ht="12.75" customHeight="1" thickBot="1">
      <c r="A13" s="10" t="str">
        <f t="shared" si="0"/>
        <v> VSS 1.67 </v>
      </c>
      <c r="B13" s="3" t="str">
        <f t="shared" si="1"/>
        <v>I</v>
      </c>
      <c r="C13" s="10">
        <f t="shared" si="2"/>
        <v>29165.599999999999</v>
      </c>
      <c r="D13" s="12" t="str">
        <f t="shared" si="3"/>
        <v>vis</v>
      </c>
      <c r="E13" s="45">
        <f>VLOOKUP(C13,Active!C$21:E$973,3,FALSE)</f>
        <v>242.02159949177675</v>
      </c>
      <c r="F13" s="3" t="s">
        <v>54</v>
      </c>
      <c r="G13" s="12" t="str">
        <f t="shared" si="4"/>
        <v>29165.60</v>
      </c>
      <c r="H13" s="10">
        <f t="shared" si="5"/>
        <v>242</v>
      </c>
      <c r="I13" s="46" t="s">
        <v>62</v>
      </c>
      <c r="J13" s="47" t="s">
        <v>63</v>
      </c>
      <c r="K13" s="46">
        <v>242</v>
      </c>
      <c r="L13" s="46" t="s">
        <v>64</v>
      </c>
      <c r="M13" s="47" t="s">
        <v>59</v>
      </c>
      <c r="N13" s="47"/>
      <c r="O13" s="48" t="s">
        <v>60</v>
      </c>
      <c r="P13" s="48" t="s">
        <v>61</v>
      </c>
    </row>
    <row r="14" spans="1:16" ht="12.75" customHeight="1" thickBot="1">
      <c r="A14" s="10" t="str">
        <f t="shared" si="0"/>
        <v> VSS 1.67 </v>
      </c>
      <c r="B14" s="3" t="str">
        <f t="shared" si="1"/>
        <v>I</v>
      </c>
      <c r="C14" s="10">
        <f t="shared" si="2"/>
        <v>29229.45</v>
      </c>
      <c r="D14" s="12" t="str">
        <f t="shared" si="3"/>
        <v>vis</v>
      </c>
      <c r="E14" s="45">
        <f>VLOOKUP(C14,Active!C$21:E$973,3,FALSE)</f>
        <v>260.04941060210416</v>
      </c>
      <c r="F14" s="3" t="s">
        <v>54</v>
      </c>
      <c r="G14" s="12" t="str">
        <f t="shared" si="4"/>
        <v>29229.45</v>
      </c>
      <c r="H14" s="10">
        <f t="shared" si="5"/>
        <v>260</v>
      </c>
      <c r="I14" s="46" t="s">
        <v>65</v>
      </c>
      <c r="J14" s="47" t="s">
        <v>66</v>
      </c>
      <c r="K14" s="46">
        <v>260</v>
      </c>
      <c r="L14" s="46" t="s">
        <v>67</v>
      </c>
      <c r="M14" s="47" t="s">
        <v>59</v>
      </c>
      <c r="N14" s="47"/>
      <c r="O14" s="48" t="s">
        <v>60</v>
      </c>
      <c r="P14" s="48" t="s">
        <v>61</v>
      </c>
    </row>
    <row r="15" spans="1:16" ht="12.75" customHeight="1" thickBot="1">
      <c r="A15" s="10" t="str">
        <f t="shared" si="0"/>
        <v> VSS 1.67 </v>
      </c>
      <c r="B15" s="3" t="str">
        <f t="shared" si="1"/>
        <v>I</v>
      </c>
      <c r="C15" s="10">
        <f t="shared" si="2"/>
        <v>29374.46</v>
      </c>
      <c r="D15" s="12" t="str">
        <f t="shared" si="3"/>
        <v>vis</v>
      </c>
      <c r="E15" s="45">
        <f>VLOOKUP(C15,Active!C$21:E$973,3,FALSE)</f>
        <v>300.99244723653584</v>
      </c>
      <c r="F15" s="3" t="s">
        <v>54</v>
      </c>
      <c r="G15" s="12" t="str">
        <f t="shared" si="4"/>
        <v>29374.46</v>
      </c>
      <c r="H15" s="10">
        <f t="shared" si="5"/>
        <v>301</v>
      </c>
      <c r="I15" s="46" t="s">
        <v>68</v>
      </c>
      <c r="J15" s="47" t="s">
        <v>69</v>
      </c>
      <c r="K15" s="46">
        <v>301</v>
      </c>
      <c r="L15" s="46" t="s">
        <v>70</v>
      </c>
      <c r="M15" s="47" t="s">
        <v>59</v>
      </c>
      <c r="N15" s="47"/>
      <c r="O15" s="48" t="s">
        <v>60</v>
      </c>
      <c r="P15" s="48" t="s">
        <v>61</v>
      </c>
    </row>
    <row r="16" spans="1:16" ht="12.75" customHeight="1" thickBot="1">
      <c r="A16" s="10" t="str">
        <f t="shared" si="0"/>
        <v> VSS 1.67 </v>
      </c>
      <c r="B16" s="3" t="str">
        <f t="shared" si="1"/>
        <v>I</v>
      </c>
      <c r="C16" s="10">
        <f t="shared" si="2"/>
        <v>29466.49</v>
      </c>
      <c r="D16" s="12" t="str">
        <f t="shared" si="3"/>
        <v>vis</v>
      </c>
      <c r="E16" s="45">
        <f>VLOOKUP(C16,Active!C$21:E$973,3,FALSE)</f>
        <v>326.9767770170123</v>
      </c>
      <c r="F16" s="3" t="s">
        <v>54</v>
      </c>
      <c r="G16" s="12" t="str">
        <f t="shared" si="4"/>
        <v>29466.49</v>
      </c>
      <c r="H16" s="10">
        <f t="shared" si="5"/>
        <v>327</v>
      </c>
      <c r="I16" s="46" t="s">
        <v>71</v>
      </c>
      <c r="J16" s="47" t="s">
        <v>72</v>
      </c>
      <c r="K16" s="46">
        <v>327</v>
      </c>
      <c r="L16" s="46" t="s">
        <v>73</v>
      </c>
      <c r="M16" s="47" t="s">
        <v>59</v>
      </c>
      <c r="N16" s="47"/>
      <c r="O16" s="48" t="s">
        <v>60</v>
      </c>
      <c r="P16" s="48" t="s">
        <v>61</v>
      </c>
    </row>
    <row r="17" spans="1:16" ht="12.75" customHeight="1" thickBot="1">
      <c r="A17" s="10" t="str">
        <f t="shared" si="0"/>
        <v> VSS 1.67 </v>
      </c>
      <c r="B17" s="3" t="str">
        <f t="shared" si="1"/>
        <v>I</v>
      </c>
      <c r="C17" s="10">
        <f t="shared" si="2"/>
        <v>29576.39</v>
      </c>
      <c r="D17" s="12" t="str">
        <f t="shared" si="3"/>
        <v>vis</v>
      </c>
      <c r="E17" s="45">
        <f>VLOOKUP(C17,Active!C$21:E$973,3,FALSE)</f>
        <v>358.00663513799708</v>
      </c>
      <c r="F17" s="3" t="s">
        <v>54</v>
      </c>
      <c r="G17" s="12" t="str">
        <f t="shared" si="4"/>
        <v>29576.39</v>
      </c>
      <c r="H17" s="10">
        <f t="shared" si="5"/>
        <v>358</v>
      </c>
      <c r="I17" s="46" t="s">
        <v>74</v>
      </c>
      <c r="J17" s="47" t="s">
        <v>75</v>
      </c>
      <c r="K17" s="46">
        <v>358</v>
      </c>
      <c r="L17" s="46" t="s">
        <v>76</v>
      </c>
      <c r="M17" s="47" t="s">
        <v>59</v>
      </c>
      <c r="N17" s="47"/>
      <c r="O17" s="48" t="s">
        <v>60</v>
      </c>
      <c r="P17" s="48" t="s">
        <v>61</v>
      </c>
    </row>
    <row r="18" spans="1:16" ht="12.75" customHeight="1" thickBot="1">
      <c r="A18" s="10" t="str">
        <f t="shared" si="0"/>
        <v> VSS 1.67 </v>
      </c>
      <c r="B18" s="3" t="str">
        <f t="shared" si="1"/>
        <v>I</v>
      </c>
      <c r="C18" s="10">
        <f t="shared" si="2"/>
        <v>29955.360000000001</v>
      </c>
      <c r="D18" s="12" t="str">
        <f t="shared" si="3"/>
        <v>vis</v>
      </c>
      <c r="E18" s="45">
        <f>VLOOKUP(C18,Active!C$21:E$973,3,FALSE)</f>
        <v>465.00741159031617</v>
      </c>
      <c r="F18" s="3" t="s">
        <v>54</v>
      </c>
      <c r="G18" s="12" t="str">
        <f t="shared" si="4"/>
        <v>29955.36</v>
      </c>
      <c r="H18" s="10">
        <f t="shared" si="5"/>
        <v>465</v>
      </c>
      <c r="I18" s="46" t="s">
        <v>77</v>
      </c>
      <c r="J18" s="47" t="s">
        <v>78</v>
      </c>
      <c r="K18" s="46">
        <v>465</v>
      </c>
      <c r="L18" s="46" t="s">
        <v>79</v>
      </c>
      <c r="M18" s="47" t="s">
        <v>59</v>
      </c>
      <c r="N18" s="47"/>
      <c r="O18" s="48" t="s">
        <v>60</v>
      </c>
      <c r="P18" s="48" t="s">
        <v>61</v>
      </c>
    </row>
    <row r="19" spans="1:16" ht="12.75" customHeight="1" thickBot="1">
      <c r="A19" s="10" t="str">
        <f t="shared" si="0"/>
        <v> VSS 1.67 </v>
      </c>
      <c r="B19" s="3" t="str">
        <f t="shared" si="1"/>
        <v>I</v>
      </c>
      <c r="C19" s="10">
        <f t="shared" si="2"/>
        <v>30366.29</v>
      </c>
      <c r="D19" s="12" t="str">
        <f t="shared" si="3"/>
        <v>vis</v>
      </c>
      <c r="E19" s="45">
        <f>VLOOKUP(C19,Active!C$21:E$973,3,FALSE)</f>
        <v>581.03197571821909</v>
      </c>
      <c r="F19" s="3" t="s">
        <v>54</v>
      </c>
      <c r="G19" s="12" t="str">
        <f t="shared" si="4"/>
        <v>30366.29</v>
      </c>
      <c r="H19" s="10">
        <f t="shared" si="5"/>
        <v>581</v>
      </c>
      <c r="I19" s="46" t="s">
        <v>80</v>
      </c>
      <c r="J19" s="47" t="s">
        <v>81</v>
      </c>
      <c r="K19" s="46">
        <v>581</v>
      </c>
      <c r="L19" s="46" t="s">
        <v>82</v>
      </c>
      <c r="M19" s="47" t="s">
        <v>59</v>
      </c>
      <c r="N19" s="47"/>
      <c r="O19" s="48" t="s">
        <v>60</v>
      </c>
      <c r="P19" s="48" t="s">
        <v>61</v>
      </c>
    </row>
    <row r="20" spans="1:16" ht="12.75" customHeight="1" thickBot="1">
      <c r="A20" s="10" t="str">
        <f t="shared" si="0"/>
        <v> VSS 1.67 </v>
      </c>
      <c r="B20" s="3" t="str">
        <f t="shared" si="1"/>
        <v>I</v>
      </c>
      <c r="C20" s="10">
        <f t="shared" si="2"/>
        <v>30373.26</v>
      </c>
      <c r="D20" s="12" t="str">
        <f t="shared" si="3"/>
        <v>vis</v>
      </c>
      <c r="E20" s="45">
        <f>VLOOKUP(C20,Active!C$21:E$973,3,FALSE)</f>
        <v>582.99992941342566</v>
      </c>
      <c r="F20" s="3" t="s">
        <v>54</v>
      </c>
      <c r="G20" s="12" t="str">
        <f t="shared" si="4"/>
        <v>30373.26</v>
      </c>
      <c r="H20" s="10">
        <f t="shared" si="5"/>
        <v>583</v>
      </c>
      <c r="I20" s="46" t="s">
        <v>83</v>
      </c>
      <c r="J20" s="47" t="s">
        <v>84</v>
      </c>
      <c r="K20" s="46">
        <v>583</v>
      </c>
      <c r="L20" s="46" t="s">
        <v>85</v>
      </c>
      <c r="M20" s="47" t="s">
        <v>59</v>
      </c>
      <c r="N20" s="47"/>
      <c r="O20" s="48" t="s">
        <v>60</v>
      </c>
      <c r="P20" s="48" t="s">
        <v>61</v>
      </c>
    </row>
    <row r="21" spans="1:16" ht="12.75" customHeight="1" thickBot="1">
      <c r="A21" s="10" t="str">
        <f t="shared" si="0"/>
        <v> VSS 1.67 </v>
      </c>
      <c r="B21" s="3" t="str">
        <f t="shared" si="1"/>
        <v>I</v>
      </c>
      <c r="C21" s="10">
        <f t="shared" si="2"/>
        <v>30465.439999999999</v>
      </c>
      <c r="D21" s="12" t="str">
        <f t="shared" si="3"/>
        <v>vis</v>
      </c>
      <c r="E21" s="45">
        <f>VLOOKUP(C21,Active!C$21:E$973,3,FALSE)</f>
        <v>609.02661113856152</v>
      </c>
      <c r="F21" s="3" t="s">
        <v>54</v>
      </c>
      <c r="G21" s="12" t="str">
        <f t="shared" si="4"/>
        <v>30465.44</v>
      </c>
      <c r="H21" s="10">
        <f t="shared" si="5"/>
        <v>609</v>
      </c>
      <c r="I21" s="46" t="s">
        <v>86</v>
      </c>
      <c r="J21" s="47" t="s">
        <v>87</v>
      </c>
      <c r="K21" s="46">
        <v>609</v>
      </c>
      <c r="L21" s="46" t="s">
        <v>88</v>
      </c>
      <c r="M21" s="47" t="s">
        <v>59</v>
      </c>
      <c r="N21" s="47"/>
      <c r="O21" s="48" t="s">
        <v>60</v>
      </c>
      <c r="P21" s="48" t="s">
        <v>61</v>
      </c>
    </row>
    <row r="22" spans="1:16" ht="12.75" customHeight="1" thickBot="1">
      <c r="A22" s="10" t="str">
        <f t="shared" si="0"/>
        <v> VSS 1.67 </v>
      </c>
      <c r="B22" s="3" t="str">
        <f t="shared" si="1"/>
        <v>I</v>
      </c>
      <c r="C22" s="10">
        <f t="shared" si="2"/>
        <v>30624.61</v>
      </c>
      <c r="D22" s="12" t="str">
        <f t="shared" si="3"/>
        <v>vis</v>
      </c>
      <c r="E22" s="45">
        <f>VLOOKUP(C22,Active!C$21:E$973,3,FALSE)</f>
        <v>653.96767134891013</v>
      </c>
      <c r="F22" s="3" t="s">
        <v>54</v>
      </c>
      <c r="G22" s="12" t="str">
        <f t="shared" si="4"/>
        <v>30624.61</v>
      </c>
      <c r="H22" s="10">
        <f t="shared" si="5"/>
        <v>654</v>
      </c>
      <c r="I22" s="46" t="s">
        <v>89</v>
      </c>
      <c r="J22" s="47" t="s">
        <v>90</v>
      </c>
      <c r="K22" s="46">
        <v>654</v>
      </c>
      <c r="L22" s="46" t="s">
        <v>91</v>
      </c>
      <c r="M22" s="47" t="s">
        <v>59</v>
      </c>
      <c r="N22" s="47"/>
      <c r="O22" s="48" t="s">
        <v>60</v>
      </c>
      <c r="P22" s="48" t="s">
        <v>61</v>
      </c>
    </row>
    <row r="23" spans="1:16" ht="12.75" customHeight="1" thickBot="1">
      <c r="A23" s="10" t="str">
        <f t="shared" si="0"/>
        <v> VSS 1.67 </v>
      </c>
      <c r="B23" s="3" t="str">
        <f t="shared" si="1"/>
        <v>I</v>
      </c>
      <c r="C23" s="10">
        <f t="shared" si="2"/>
        <v>30674.42</v>
      </c>
      <c r="D23" s="12" t="str">
        <f t="shared" si="3"/>
        <v>vis</v>
      </c>
      <c r="E23" s="45">
        <f>VLOOKUP(C23,Active!C$21:E$973,3,FALSE)</f>
        <v>668.03134043904845</v>
      </c>
      <c r="F23" s="3" t="s">
        <v>54</v>
      </c>
      <c r="G23" s="12" t="str">
        <f t="shared" si="4"/>
        <v>30674.42</v>
      </c>
      <c r="H23" s="10">
        <f t="shared" si="5"/>
        <v>668</v>
      </c>
      <c r="I23" s="46" t="s">
        <v>92</v>
      </c>
      <c r="J23" s="47" t="s">
        <v>93</v>
      </c>
      <c r="K23" s="46">
        <v>668</v>
      </c>
      <c r="L23" s="46" t="s">
        <v>82</v>
      </c>
      <c r="M23" s="47" t="s">
        <v>59</v>
      </c>
      <c r="N23" s="47"/>
      <c r="O23" s="48" t="s">
        <v>60</v>
      </c>
      <c r="P23" s="48" t="s">
        <v>61</v>
      </c>
    </row>
    <row r="24" spans="1:16" ht="12.75" customHeight="1" thickBot="1">
      <c r="A24" s="10" t="str">
        <f t="shared" si="0"/>
        <v> VSS 1.67 </v>
      </c>
      <c r="B24" s="3" t="str">
        <f t="shared" si="1"/>
        <v>I</v>
      </c>
      <c r="C24" s="10">
        <f t="shared" si="2"/>
        <v>30819.439999999999</v>
      </c>
      <c r="D24" s="12" t="str">
        <f t="shared" si="3"/>
        <v>vis</v>
      </c>
      <c r="E24" s="45">
        <f>VLOOKUP(C24,Active!C$21:E$973,3,FALSE)</f>
        <v>708.9772005364581</v>
      </c>
      <c r="F24" s="3" t="s">
        <v>54</v>
      </c>
      <c r="G24" s="12" t="str">
        <f t="shared" si="4"/>
        <v>30819.44</v>
      </c>
      <c r="H24" s="10">
        <f t="shared" si="5"/>
        <v>709</v>
      </c>
      <c r="I24" s="46" t="s">
        <v>94</v>
      </c>
      <c r="J24" s="47" t="s">
        <v>95</v>
      </c>
      <c r="K24" s="46">
        <v>709</v>
      </c>
      <c r="L24" s="46" t="s">
        <v>73</v>
      </c>
      <c r="M24" s="47" t="s">
        <v>59</v>
      </c>
      <c r="N24" s="47"/>
      <c r="O24" s="48" t="s">
        <v>60</v>
      </c>
      <c r="P24" s="48" t="s">
        <v>61</v>
      </c>
    </row>
    <row r="25" spans="1:16" ht="12.75" customHeight="1" thickBot="1">
      <c r="A25" s="10" t="str">
        <f t="shared" si="0"/>
        <v> VSS 1.67 </v>
      </c>
      <c r="B25" s="3" t="str">
        <f t="shared" si="1"/>
        <v>I</v>
      </c>
      <c r="C25" s="10">
        <f t="shared" si="2"/>
        <v>31028.53</v>
      </c>
      <c r="D25" s="12" t="str">
        <f t="shared" si="3"/>
        <v>vis</v>
      </c>
      <c r="E25" s="45">
        <f>VLOOKUP(C25,Active!C$21:E$973,3,FALSE)</f>
        <v>768.0129879296959</v>
      </c>
      <c r="F25" s="3" t="s">
        <v>54</v>
      </c>
      <c r="G25" s="12" t="str">
        <f t="shared" si="4"/>
        <v>31028.53</v>
      </c>
      <c r="H25" s="10">
        <f t="shared" si="5"/>
        <v>768</v>
      </c>
      <c r="I25" s="46" t="s">
        <v>96</v>
      </c>
      <c r="J25" s="47" t="s">
        <v>97</v>
      </c>
      <c r="K25" s="46">
        <v>768</v>
      </c>
      <c r="L25" s="46" t="s">
        <v>98</v>
      </c>
      <c r="M25" s="47" t="s">
        <v>59</v>
      </c>
      <c r="N25" s="47"/>
      <c r="O25" s="48" t="s">
        <v>60</v>
      </c>
      <c r="P25" s="48" t="s">
        <v>61</v>
      </c>
    </row>
    <row r="26" spans="1:16" ht="12.75" customHeight="1" thickBot="1">
      <c r="A26" s="10" t="str">
        <f t="shared" si="0"/>
        <v> VSS 1.67 </v>
      </c>
      <c r="B26" s="3" t="str">
        <f t="shared" si="1"/>
        <v>I</v>
      </c>
      <c r="C26" s="10">
        <f t="shared" si="2"/>
        <v>31322.42</v>
      </c>
      <c r="D26" s="12" t="str">
        <f t="shared" si="3"/>
        <v>vis</v>
      </c>
      <c r="E26" s="45">
        <f>VLOOKUP(C26,Active!C$21:E$973,3,FALSE)</f>
        <v>850.99174137079126</v>
      </c>
      <c r="F26" s="3" t="s">
        <v>54</v>
      </c>
      <c r="G26" s="12" t="str">
        <f t="shared" si="4"/>
        <v>31322.42</v>
      </c>
      <c r="H26" s="10">
        <f t="shared" si="5"/>
        <v>851</v>
      </c>
      <c r="I26" s="46" t="s">
        <v>99</v>
      </c>
      <c r="J26" s="47" t="s">
        <v>100</v>
      </c>
      <c r="K26" s="46">
        <v>851</v>
      </c>
      <c r="L26" s="46" t="s">
        <v>70</v>
      </c>
      <c r="M26" s="47" t="s">
        <v>101</v>
      </c>
      <c r="N26" s="47"/>
      <c r="O26" s="48" t="s">
        <v>60</v>
      </c>
      <c r="P26" s="48" t="s">
        <v>61</v>
      </c>
    </row>
    <row r="27" spans="1:16" ht="12.75" customHeight="1" thickBot="1">
      <c r="A27" s="10" t="str">
        <f t="shared" si="0"/>
        <v> VSS 1.67 </v>
      </c>
      <c r="B27" s="3" t="str">
        <f t="shared" si="1"/>
        <v>I</v>
      </c>
      <c r="C27" s="10">
        <f t="shared" si="2"/>
        <v>31329.56</v>
      </c>
      <c r="D27" s="12" t="str">
        <f t="shared" si="3"/>
        <v>vis</v>
      </c>
      <c r="E27" s="45">
        <f>VLOOKUP(C27,Active!C$21:E$973,3,FALSE)</f>
        <v>853.00769393661415</v>
      </c>
      <c r="F27" s="3" t="s">
        <v>54</v>
      </c>
      <c r="G27" s="12" t="str">
        <f t="shared" si="4"/>
        <v>31329.56</v>
      </c>
      <c r="H27" s="10">
        <f t="shared" si="5"/>
        <v>853</v>
      </c>
      <c r="I27" s="46" t="s">
        <v>102</v>
      </c>
      <c r="J27" s="47" t="s">
        <v>103</v>
      </c>
      <c r="K27" s="46">
        <v>853</v>
      </c>
      <c r="L27" s="46" t="s">
        <v>79</v>
      </c>
      <c r="M27" s="47" t="s">
        <v>101</v>
      </c>
      <c r="N27" s="47"/>
      <c r="O27" s="48" t="s">
        <v>60</v>
      </c>
      <c r="P27" s="48" t="s">
        <v>61</v>
      </c>
    </row>
    <row r="28" spans="1:16" ht="12.75" customHeight="1" thickBot="1">
      <c r="A28" s="10" t="str">
        <f t="shared" si="0"/>
        <v>BAVM 212 </v>
      </c>
      <c r="B28" s="3" t="str">
        <f t="shared" si="1"/>
        <v>I</v>
      </c>
      <c r="C28" s="10">
        <f t="shared" si="2"/>
        <v>55154.643199999999</v>
      </c>
      <c r="D28" s="12" t="str">
        <f t="shared" si="3"/>
        <v>vis</v>
      </c>
      <c r="E28" s="45">
        <f>VLOOKUP(C28,Active!C$21:E$973,3,FALSE)</f>
        <v>7579.9317286652076</v>
      </c>
      <c r="F28" s="3" t="s">
        <v>54</v>
      </c>
      <c r="G28" s="12" t="str">
        <f t="shared" si="4"/>
        <v>55154.6432</v>
      </c>
      <c r="H28" s="10">
        <f t="shared" si="5"/>
        <v>7580</v>
      </c>
      <c r="I28" s="46" t="s">
        <v>104</v>
      </c>
      <c r="J28" s="47" t="s">
        <v>105</v>
      </c>
      <c r="K28" s="46">
        <v>7580</v>
      </c>
      <c r="L28" s="46" t="s">
        <v>106</v>
      </c>
      <c r="M28" s="47" t="s">
        <v>107</v>
      </c>
      <c r="N28" s="47" t="s">
        <v>108</v>
      </c>
      <c r="O28" s="48" t="s">
        <v>109</v>
      </c>
      <c r="P28" s="49" t="s">
        <v>110</v>
      </c>
    </row>
    <row r="29" spans="1:16" ht="12.75" customHeight="1" thickBot="1">
      <c r="A29" s="10" t="str">
        <f t="shared" si="0"/>
        <v>BAVM 225 </v>
      </c>
      <c r="B29" s="3" t="str">
        <f t="shared" si="1"/>
        <v>I</v>
      </c>
      <c r="C29" s="10">
        <f t="shared" si="2"/>
        <v>55859.436099999999</v>
      </c>
      <c r="D29" s="12" t="str">
        <f t="shared" si="3"/>
        <v>vis</v>
      </c>
      <c r="E29" s="45">
        <f>VLOOKUP(C29,Active!C$21:E$973,3,FALSE)</f>
        <v>7778.9273946495377</v>
      </c>
      <c r="F29" s="3" t="s">
        <v>54</v>
      </c>
      <c r="G29" s="12" t="str">
        <f t="shared" si="4"/>
        <v>55859.4361</v>
      </c>
      <c r="H29" s="10">
        <f t="shared" si="5"/>
        <v>7779</v>
      </c>
      <c r="I29" s="46" t="s">
        <v>111</v>
      </c>
      <c r="J29" s="47" t="s">
        <v>112</v>
      </c>
      <c r="K29" s="46" t="s">
        <v>113</v>
      </c>
      <c r="L29" s="46" t="s">
        <v>114</v>
      </c>
      <c r="M29" s="47" t="s">
        <v>107</v>
      </c>
      <c r="N29" s="47" t="s">
        <v>108</v>
      </c>
      <c r="O29" s="48" t="s">
        <v>109</v>
      </c>
      <c r="P29" s="49" t="s">
        <v>115</v>
      </c>
    </row>
    <row r="30" spans="1:16" ht="12.75" customHeight="1" thickBot="1">
      <c r="A30" s="10" t="str">
        <f t="shared" si="0"/>
        <v>BAVM 234 </v>
      </c>
      <c r="B30" s="3" t="str">
        <f t="shared" si="1"/>
        <v>I</v>
      </c>
      <c r="C30" s="10">
        <f t="shared" si="2"/>
        <v>56610.267899999999</v>
      </c>
      <c r="D30" s="12" t="str">
        <f t="shared" si="3"/>
        <v>vis</v>
      </c>
      <c r="E30" s="45">
        <f>VLOOKUP(C30,Active!C$21:E$973,3,FALSE)</f>
        <v>7990.9219736006216</v>
      </c>
      <c r="F30" s="3" t="s">
        <v>54</v>
      </c>
      <c r="G30" s="12" t="str">
        <f t="shared" si="4"/>
        <v>56610.2679</v>
      </c>
      <c r="H30" s="10">
        <f t="shared" si="5"/>
        <v>7991</v>
      </c>
      <c r="I30" s="46" t="s">
        <v>116</v>
      </c>
      <c r="J30" s="47" t="s">
        <v>117</v>
      </c>
      <c r="K30" s="46" t="s">
        <v>118</v>
      </c>
      <c r="L30" s="46" t="s">
        <v>119</v>
      </c>
      <c r="M30" s="47" t="s">
        <v>107</v>
      </c>
      <c r="N30" s="47" t="s">
        <v>120</v>
      </c>
      <c r="O30" s="48" t="s">
        <v>121</v>
      </c>
      <c r="P30" s="49" t="s">
        <v>122</v>
      </c>
    </row>
    <row r="31" spans="1:16">
      <c r="B31" s="3"/>
      <c r="F31" s="3"/>
    </row>
    <row r="32" spans="1:1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</sheetData>
  <phoneticPr fontId="8" type="noConversion"/>
  <hyperlinks>
    <hyperlink ref="A3" r:id="rId1" xr:uid="{00000000-0004-0000-0100-000000000000}"/>
    <hyperlink ref="P28" r:id="rId2" display="http://www.bav-astro.de/sfs/BAVM_link.php?BAVMnr=212" xr:uid="{00000000-0004-0000-0100-000001000000}"/>
    <hyperlink ref="P29" r:id="rId3" display="http://www.bav-astro.de/sfs/BAVM_link.php?BAVMnr=225" xr:uid="{00000000-0004-0000-0100-000002000000}"/>
    <hyperlink ref="P30" r:id="rId4" display="http://www.bav-astro.de/sfs/BAVM_link.php?BAVMnr=234" xr:uid="{00000000-0004-0000-0100-000003000000}"/>
    <hyperlink ref="P12" r:id="rId5" display="http://www.bav-astro.de/sfs/BAVM_link.php?BAVMnr=239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2024-01-19T04:47:38Z</dcterms:modified>
</cp:coreProperties>
</file>