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150732B-7743-4F95-B9FD-6E0BFEF517C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1" i="1" l="1"/>
  <c r="Q32" i="1"/>
  <c r="D9" i="1"/>
  <c r="C9" i="1"/>
  <c r="Q24" i="1"/>
  <c r="Q25" i="1"/>
  <c r="Q26" i="1"/>
  <c r="Q27" i="1"/>
  <c r="G14" i="2"/>
  <c r="C14" i="2"/>
  <c r="G13" i="2"/>
  <c r="C13" i="2"/>
  <c r="G18" i="2"/>
  <c r="C18" i="2"/>
  <c r="G17" i="2"/>
  <c r="C17" i="2"/>
  <c r="G16" i="2"/>
  <c r="C16" i="2"/>
  <c r="G15" i="2"/>
  <c r="C15" i="2"/>
  <c r="G12" i="2"/>
  <c r="C12" i="2"/>
  <c r="G11" i="2"/>
  <c r="C11" i="2"/>
  <c r="H14" i="2"/>
  <c r="B14" i="2"/>
  <c r="D14" i="2"/>
  <c r="A14" i="2"/>
  <c r="H13" i="2"/>
  <c r="D13" i="2"/>
  <c r="B13" i="2"/>
  <c r="A13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2" i="2"/>
  <c r="B12" i="2"/>
  <c r="D12" i="2"/>
  <c r="A12" i="2"/>
  <c r="H11" i="2"/>
  <c r="D11" i="2"/>
  <c r="B11" i="2"/>
  <c r="A11" i="2"/>
  <c r="Q29" i="1"/>
  <c r="F16" i="1"/>
  <c r="F17" i="1" s="1"/>
  <c r="C17" i="1"/>
  <c r="Q30" i="1"/>
  <c r="Q28" i="1"/>
  <c r="Q23" i="1"/>
  <c r="Q22" i="1"/>
  <c r="C7" i="1"/>
  <c r="E31" i="1"/>
  <c r="F31" i="1"/>
  <c r="C8" i="1"/>
  <c r="Q21" i="1"/>
  <c r="E12" i="2"/>
  <c r="E14" i="2"/>
  <c r="E15" i="2"/>
  <c r="E30" i="1"/>
  <c r="F30" i="1"/>
  <c r="G30" i="1"/>
  <c r="K30" i="1"/>
  <c r="E24" i="1"/>
  <c r="F24" i="1"/>
  <c r="G32" i="1"/>
  <c r="K32" i="1"/>
  <c r="G29" i="1"/>
  <c r="J29" i="1"/>
  <c r="E22" i="1"/>
  <c r="F22" i="1"/>
  <c r="G22" i="1"/>
  <c r="E26" i="1"/>
  <c r="F26" i="1"/>
  <c r="G26" i="1"/>
  <c r="I26" i="1"/>
  <c r="E28" i="1"/>
  <c r="F28" i="1"/>
  <c r="G28" i="1"/>
  <c r="K28" i="1"/>
  <c r="E32" i="1"/>
  <c r="F32" i="1"/>
  <c r="E29" i="1"/>
  <c r="F29" i="1"/>
  <c r="G21" i="1"/>
  <c r="I21" i="1"/>
  <c r="G27" i="1"/>
  <c r="I27" i="1"/>
  <c r="E25" i="1"/>
  <c r="F25" i="1"/>
  <c r="G25" i="1"/>
  <c r="I25" i="1"/>
  <c r="G31" i="1"/>
  <c r="K31" i="1"/>
  <c r="E23" i="1"/>
  <c r="F23" i="1"/>
  <c r="G23" i="1"/>
  <c r="K23" i="1"/>
  <c r="E21" i="1"/>
  <c r="F21" i="1"/>
  <c r="E27" i="1"/>
  <c r="F27" i="1"/>
  <c r="G24" i="1"/>
  <c r="I24" i="1"/>
  <c r="I22" i="1"/>
  <c r="E18" i="2"/>
  <c r="E17" i="2"/>
  <c r="E13" i="2"/>
  <c r="E11" i="2"/>
  <c r="E16" i="2"/>
  <c r="C11" i="1"/>
  <c r="C12" i="1"/>
  <c r="C16" i="1" l="1"/>
  <c r="D18" i="1" s="1"/>
  <c r="O23" i="1"/>
  <c r="O27" i="1"/>
  <c r="C15" i="1"/>
  <c r="O31" i="1"/>
  <c r="O25" i="1"/>
  <c r="O28" i="1"/>
  <c r="O26" i="1"/>
  <c r="O22" i="1"/>
  <c r="O24" i="1"/>
  <c r="O30" i="1"/>
  <c r="O29" i="1"/>
  <c r="O21" i="1"/>
  <c r="O32" i="1"/>
  <c r="C18" i="1" l="1"/>
  <c r="F18" i="1"/>
  <c r="F19" i="1" s="1"/>
</calcChain>
</file>

<file path=xl/sharedStrings.xml><?xml version="1.0" encoding="utf-8"?>
<sst xmlns="http://schemas.openxmlformats.org/spreadsheetml/2006/main" count="146" uniqueCount="100">
  <si>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</si>
  <si>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</si>
  <si>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</si>
  <si>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</si>
  <si>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</si>
  <si>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</si>
  <si>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</si>
  <si>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</si>
  <si>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</si>
  <si>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</si>
  <si>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</si>
  <si>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</si>
  <si>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</si>
  <si>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</si>
  <si>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</si>
  <si>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</si>
  <si>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</si>
  <si>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</si>
  <si>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</si>
  <si>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</si>
  <si>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</si>
  <si>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</si>
  <si>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</si>
  <si>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</si>
  <si>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</si>
  <si>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</si>
  <si>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Bull.116</t>
  </si>
  <si>
    <t>B</t>
  </si>
  <si>
    <t># of data points:</t>
  </si>
  <si>
    <t>EA/SD</t>
  </si>
  <si>
    <t>OEJV 0074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</si>
  <si>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</si>
  <si>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</si>
  <si>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</si>
  <si>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</si>
  <si>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</si>
  <si>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</si>
  <si>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</si>
  <si>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</si>
  <si>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IBVS 6011</t>
  </si>
  <si>
    <t>LU Cas / GSC 4051-1008</t>
  </si>
  <si>
    <t>Add cycle</t>
  </si>
  <si>
    <t>Old Cycle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</si>
  <si>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</si>
  <si>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</si>
  <si>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</si>
  <si>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</si>
  <si>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</si>
  <si>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</si>
  <si>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</si>
  <si>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</si>
  <si>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</si>
  <si>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</si>
  <si>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</si>
  <si>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</si>
  <si>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2450708.609 </t>
  </si>
  <si>
    <t> 17.09.1997 02:36 </t>
  </si>
  <si>
    <t> 0.097 </t>
  </si>
  <si>
    <t>E </t>
  </si>
  <si>
    <t>?</t>
  </si>
  <si>
    <t> R.Diethelm </t>
  </si>
  <si>
    <t> BBS 116 </t>
  </si>
  <si>
    <t>2451751.54372 </t>
  </si>
  <si>
    <t> 26.07.2000 01:02 </t>
  </si>
  <si>
    <t> 0.11269 </t>
  </si>
  <si>
    <t>C </t>
  </si>
  <si>
    <t>o</t>
  </si>
  <si>
    <t> J.Šafár </t>
  </si>
  <si>
    <t>OEJV 0074 </t>
  </si>
  <si>
    <t>2451902.2860 </t>
  </si>
  <si>
    <t> 23.12.2000 18:51 </t>
  </si>
  <si>
    <t> 0.1206 </t>
  </si>
  <si>
    <t> BBS 124 </t>
  </si>
  <si>
    <t>2452136.535 </t>
  </si>
  <si>
    <t> 15.08.2001 00:50 </t>
  </si>
  <si>
    <t> 0.120 </t>
  </si>
  <si>
    <t> BBS 126 </t>
  </si>
  <si>
    <t>2452287.296 </t>
  </si>
  <si>
    <t> 12.01.2002 19:06 </t>
  </si>
  <si>
    <t> 0.147 </t>
  </si>
  <si>
    <t> BBS 127 </t>
  </si>
  <si>
    <t>2454766.2998 </t>
  </si>
  <si>
    <t> 26.10.2008 19:11 </t>
  </si>
  <si>
    <t> 0.1813 </t>
  </si>
  <si>
    <t>R</t>
  </si>
  <si>
    <t> M.Lehky </t>
  </si>
  <si>
    <t>OEJV 0107 </t>
  </si>
  <si>
    <t>2455483.3179 </t>
  </si>
  <si>
    <t> 13.10.2010 19:37 </t>
  </si>
  <si>
    <t> 0.1926 </t>
  </si>
  <si>
    <t> U.Schmidt </t>
  </si>
  <si>
    <t>BAVM 215 </t>
  </si>
  <si>
    <t>2455843.8746 </t>
  </si>
  <si>
    <t> 09.10.2011 08:59 </t>
  </si>
  <si>
    <t> 0.2090 </t>
  </si>
  <si>
    <t>IBVS 6011 </t>
  </si>
  <si>
    <t>s5</t>
  </si>
  <si>
    <t>s6</t>
  </si>
  <si>
    <t>s7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</si>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</sst>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Cas - O-C Diagr.</a:t>
            </a:r>
          </a:p>
        </c:rich>
      </c:tx>
      <c:layout>
        <c:manualLayout>
          <c:xMode val="edge"/>
          <c:yMode val="edge"/>
          <c:x val="0.342975640441638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85958167167895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3222</c:v>
                </c:pt>
                <c:pt idx="2">
                  <c:v>3734</c:v>
                </c:pt>
                <c:pt idx="3">
                  <c:v>3808</c:v>
                </c:pt>
                <c:pt idx="4">
                  <c:v>3923</c:v>
                </c:pt>
                <c:pt idx="5">
                  <c:v>3997</c:v>
                </c:pt>
                <c:pt idx="6">
                  <c:v>5214</c:v>
                </c:pt>
                <c:pt idx="7">
                  <c:v>5214</c:v>
                </c:pt>
                <c:pt idx="8">
                  <c:v>5566</c:v>
                </c:pt>
                <c:pt idx="9">
                  <c:v>5743</c:v>
                </c:pt>
                <c:pt idx="10">
                  <c:v>5999</c:v>
                </c:pt>
                <c:pt idx="11">
                  <c:v>6079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1C-436D-9196-6C89C04ABB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3222</c:v>
                </c:pt>
                <c:pt idx="2">
                  <c:v>3734</c:v>
                </c:pt>
                <c:pt idx="3">
                  <c:v>3808</c:v>
                </c:pt>
                <c:pt idx="4">
                  <c:v>3923</c:v>
                </c:pt>
                <c:pt idx="5">
                  <c:v>3997</c:v>
                </c:pt>
                <c:pt idx="6">
                  <c:v>5214</c:v>
                </c:pt>
                <c:pt idx="7">
                  <c:v>5214</c:v>
                </c:pt>
                <c:pt idx="8">
                  <c:v>5566</c:v>
                </c:pt>
                <c:pt idx="9">
                  <c:v>5743</c:v>
                </c:pt>
                <c:pt idx="10">
                  <c:v>5999</c:v>
                </c:pt>
                <c:pt idx="11">
                  <c:v>6079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</c:v>
                </c:pt>
                <c:pt idx="1">
                  <c:v>9.6877999996650033E-2</c:v>
                </c:pt>
                <c:pt idx="3">
                  <c:v>0.1205919999993057</c:v>
                </c:pt>
                <c:pt idx="4">
                  <c:v>0.12022700000670739</c:v>
                </c:pt>
                <c:pt idx="5">
                  <c:v>0.14685300000564894</c:v>
                </c:pt>
                <c:pt idx="6">
                  <c:v>0.18128599999909056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1C-436D-9196-6C89C04ABB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3222</c:v>
                </c:pt>
                <c:pt idx="2">
                  <c:v>3734</c:v>
                </c:pt>
                <c:pt idx="3">
                  <c:v>3808</c:v>
                </c:pt>
                <c:pt idx="4">
                  <c:v>3923</c:v>
                </c:pt>
                <c:pt idx="5">
                  <c:v>3997</c:v>
                </c:pt>
                <c:pt idx="6">
                  <c:v>5214</c:v>
                </c:pt>
                <c:pt idx="7">
                  <c:v>5214</c:v>
                </c:pt>
                <c:pt idx="8">
                  <c:v>5566</c:v>
                </c:pt>
                <c:pt idx="9">
                  <c:v>5743</c:v>
                </c:pt>
                <c:pt idx="10">
                  <c:v>5999</c:v>
                </c:pt>
                <c:pt idx="11">
                  <c:v>6079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">
                  <c:v>0.1926339999990887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1C-436D-9196-6C89C04ABB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3222</c:v>
                </c:pt>
                <c:pt idx="2">
                  <c:v>3734</c:v>
                </c:pt>
                <c:pt idx="3">
                  <c:v>3808</c:v>
                </c:pt>
                <c:pt idx="4">
                  <c:v>3923</c:v>
                </c:pt>
                <c:pt idx="5">
                  <c:v>3997</c:v>
                </c:pt>
                <c:pt idx="6">
                  <c:v>5214</c:v>
                </c:pt>
                <c:pt idx="7">
                  <c:v>5214</c:v>
                </c:pt>
                <c:pt idx="8">
                  <c:v>5566</c:v>
                </c:pt>
                <c:pt idx="9">
                  <c:v>5743</c:v>
                </c:pt>
                <c:pt idx="10">
                  <c:v>5999</c:v>
                </c:pt>
                <c:pt idx="11">
                  <c:v>6079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0.11268600000039442</c:v>
                </c:pt>
                <c:pt idx="7">
                  <c:v>0.18136599999706959</c:v>
                </c:pt>
                <c:pt idx="9">
                  <c:v>0.20900700000493089</c:v>
                </c:pt>
                <c:pt idx="10">
                  <c:v>0.21959100000094622</c:v>
                </c:pt>
                <c:pt idx="11">
                  <c:v>0.22740100000373786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1C-436D-9196-6C89C04ABB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3222</c:v>
                </c:pt>
                <c:pt idx="2">
                  <c:v>3734</c:v>
                </c:pt>
                <c:pt idx="3">
                  <c:v>3808</c:v>
                </c:pt>
                <c:pt idx="4">
                  <c:v>3923</c:v>
                </c:pt>
                <c:pt idx="5">
                  <c:v>3997</c:v>
                </c:pt>
                <c:pt idx="6">
                  <c:v>5214</c:v>
                </c:pt>
                <c:pt idx="7">
                  <c:v>5214</c:v>
                </c:pt>
                <c:pt idx="8">
                  <c:v>5566</c:v>
                </c:pt>
                <c:pt idx="9">
                  <c:v>5743</c:v>
                </c:pt>
                <c:pt idx="10">
                  <c:v>5999</c:v>
                </c:pt>
                <c:pt idx="11">
                  <c:v>6079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1C-436D-9196-6C89C04ABB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3222</c:v>
                </c:pt>
                <c:pt idx="2">
                  <c:v>3734</c:v>
                </c:pt>
                <c:pt idx="3">
                  <c:v>3808</c:v>
                </c:pt>
                <c:pt idx="4">
                  <c:v>3923</c:v>
                </c:pt>
                <c:pt idx="5">
                  <c:v>3997</c:v>
                </c:pt>
                <c:pt idx="6">
                  <c:v>5214</c:v>
                </c:pt>
                <c:pt idx="7">
                  <c:v>5214</c:v>
                </c:pt>
                <c:pt idx="8">
                  <c:v>5566</c:v>
                </c:pt>
                <c:pt idx="9">
                  <c:v>5743</c:v>
                </c:pt>
                <c:pt idx="10">
                  <c:v>5999</c:v>
                </c:pt>
                <c:pt idx="11">
                  <c:v>6079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1C-436D-9196-6C89C04ABB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1.1000000000000001E-3</c:v>
                  </c:pt>
                  <c:pt idx="2">
                    <c:v>3.2000000000000002E-3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2.9999999999999997E-4</c:v>
                  </c:pt>
                  <c:pt idx="8">
                    <c:v>1.2999999999999999E-3</c:v>
                  </c:pt>
                  <c:pt idx="9">
                    <c:v>8.9999999999999998E-4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3222</c:v>
                </c:pt>
                <c:pt idx="2">
                  <c:v>3734</c:v>
                </c:pt>
                <c:pt idx="3">
                  <c:v>3808</c:v>
                </c:pt>
                <c:pt idx="4">
                  <c:v>3923</c:v>
                </c:pt>
                <c:pt idx="5">
                  <c:v>3997</c:v>
                </c:pt>
                <c:pt idx="6">
                  <c:v>5214</c:v>
                </c:pt>
                <c:pt idx="7">
                  <c:v>5214</c:v>
                </c:pt>
                <c:pt idx="8">
                  <c:v>5566</c:v>
                </c:pt>
                <c:pt idx="9">
                  <c:v>5743</c:v>
                </c:pt>
                <c:pt idx="10">
                  <c:v>5999</c:v>
                </c:pt>
                <c:pt idx="11">
                  <c:v>6079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1C-436D-9196-6C89C04ABB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3222</c:v>
                </c:pt>
                <c:pt idx="2">
                  <c:v>3734</c:v>
                </c:pt>
                <c:pt idx="3">
                  <c:v>3808</c:v>
                </c:pt>
                <c:pt idx="4">
                  <c:v>3923</c:v>
                </c:pt>
                <c:pt idx="5">
                  <c:v>3997</c:v>
                </c:pt>
                <c:pt idx="6">
                  <c:v>5214</c:v>
                </c:pt>
                <c:pt idx="7">
                  <c:v>5214</c:v>
                </c:pt>
                <c:pt idx="8">
                  <c:v>5566</c:v>
                </c:pt>
                <c:pt idx="9">
                  <c:v>5743</c:v>
                </c:pt>
                <c:pt idx="10">
                  <c:v>5999</c:v>
                </c:pt>
                <c:pt idx="11">
                  <c:v>6079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-4.6658996303453215E-2</c:v>
                </c:pt>
                <c:pt idx="1">
                  <c:v>9.5834057069576956E-2</c:v>
                </c:pt>
                <c:pt idx="2">
                  <c:v>0.11847727349632789</c:v>
                </c:pt>
                <c:pt idx="3">
                  <c:v>0.12174992587050673</c:v>
                </c:pt>
                <c:pt idx="4">
                  <c:v>0.12683580456010898</c:v>
                </c:pt>
                <c:pt idx="5">
                  <c:v>0.13010845693428782</c:v>
                </c:pt>
                <c:pt idx="6">
                  <c:v>0.18393032097990475</c:v>
                </c:pt>
                <c:pt idx="7">
                  <c:v>0.18393032097990475</c:v>
                </c:pt>
                <c:pt idx="8">
                  <c:v>0.199497532273296</c:v>
                </c:pt>
                <c:pt idx="9">
                  <c:v>0.20732536295207515</c:v>
                </c:pt>
                <c:pt idx="10">
                  <c:v>0.21864697116545057</c:v>
                </c:pt>
                <c:pt idx="11">
                  <c:v>0.22218497373213042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1C-436D-9196-6C89C04A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957176"/>
        <c:axId val="1"/>
      </c:scatterChart>
      <c:valAx>
        <c:axId val="51595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95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9608468362942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485775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57DC86A-1B89-443B-D38A-81E5C8BBA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6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24</v>
      </c>
      <c r="B2" s="11" t="s">
        <v>29</v>
      </c>
    </row>
    <row r="4" spans="1:6" ht="14.25" thickTop="1" thickBot="1">
      <c r="A4" s="6" t="s">
        <v>0</v>
      </c>
      <c r="C4" s="3">
        <v>44145.455999999998</v>
      </c>
      <c r="D4" s="4">
        <v>2.0369510000000002</v>
      </c>
    </row>
    <row r="5" spans="1:6" ht="13.5" thickTop="1">
      <c r="A5" s="15" t="s">
        <v>32</v>
      </c>
      <c r="B5" s="16"/>
      <c r="C5" s="17">
        <v>-9.5</v>
      </c>
      <c r="D5" s="16" t="s">
        <v>33</v>
      </c>
    </row>
    <row r="6" spans="1:6">
      <c r="A6" s="6" t="s">
        <v>1</v>
      </c>
    </row>
    <row r="7" spans="1:6">
      <c r="A7" t="s">
        <v>2</v>
      </c>
      <c r="C7">
        <f>+C4</f>
        <v>44145.455999999998</v>
      </c>
    </row>
    <row r="8" spans="1:6">
      <c r="A8" t="s">
        <v>3</v>
      </c>
      <c r="C8">
        <f>+D4</f>
        <v>2.0369510000000002</v>
      </c>
    </row>
    <row r="9" spans="1:6">
      <c r="A9" s="31" t="s">
        <v>37</v>
      </c>
      <c r="B9" s="32">
        <v>22</v>
      </c>
      <c r="C9" s="20" t="str">
        <f>"F"&amp;B9</f>
        <v>F22</v>
      </c>
      <c r="D9" s="21" t="str">
        <f>"G"&amp;B9</f>
        <v>G22</v>
      </c>
    </row>
    <row r="10" spans="1:6" ht="13.5" thickBot="1">
      <c r="A10" s="16"/>
      <c r="B10" s="16"/>
      <c r="C10" s="5" t="s">
        <v>20</v>
      </c>
      <c r="D10" s="5" t="s">
        <v>21</v>
      </c>
      <c r="E10" s="16"/>
    </row>
    <row r="11" spans="1:6">
      <c r="A11" s="16" t="s">
        <v>16</v>
      </c>
      <c r="B11" s="16"/>
      <c r="C11" s="18">
        <f ca="1">INTERCEPT(INDIRECT($D$9):G992,INDIRECT($C$9):F992)</f>
        <v>-4.6658996303453215E-2</v>
      </c>
      <c r="D11" s="19"/>
      <c r="E11" s="16"/>
    </row>
    <row r="12" spans="1:6">
      <c r="A12" s="16" t="s">
        <v>17</v>
      </c>
      <c r="B12" s="16"/>
      <c r="C12" s="18">
        <f ca="1">SLOPE(INDIRECT($D$9):G992,INDIRECT($C$9):F992)</f>
        <v>4.4225032083497884E-5</v>
      </c>
      <c r="D12" s="19"/>
      <c r="E12" s="16"/>
    </row>
    <row r="13" spans="1:6">
      <c r="A13" s="16" t="s">
        <v>19</v>
      </c>
      <c r="B13" s="16"/>
      <c r="C13" s="19" t="s">
        <v>14</v>
      </c>
    </row>
    <row r="14" spans="1:6">
      <c r="A14" s="16"/>
      <c r="B14" s="16"/>
      <c r="C14" s="16"/>
    </row>
    <row r="15" spans="1:6">
      <c r="A15" s="22" t="s">
        <v>18</v>
      </c>
      <c r="B15" s="16"/>
      <c r="C15" s="23">
        <f ca="1">(C7+C11)+(C8+C12)*INT(MAX(F21:F3533))</f>
        <v>56528.303313973731</v>
      </c>
      <c r="E15" s="24" t="s">
        <v>41</v>
      </c>
      <c r="F15" s="17">
        <v>1</v>
      </c>
    </row>
    <row r="16" spans="1:6">
      <c r="A16" s="26" t="s">
        <v>4</v>
      </c>
      <c r="B16" s="16"/>
      <c r="C16" s="27">
        <f ca="1">+C8+C12</f>
        <v>2.0369952250320837</v>
      </c>
      <c r="E16" s="24" t="s">
        <v>34</v>
      </c>
      <c r="F16" s="25">
        <f ca="1">NOW()+15018.5+$C$5/24</f>
        <v>60328.749217592587</v>
      </c>
    </row>
    <row r="17" spans="1:31" ht="13.5" thickBot="1">
      <c r="A17" s="24" t="s">
        <v>28</v>
      </c>
      <c r="B17" s="16"/>
      <c r="C17" s="16">
        <f>COUNT(C21:C2191)</f>
        <v>12</v>
      </c>
      <c r="E17" s="24" t="s">
        <v>42</v>
      </c>
      <c r="F17" s="25">
        <f ca="1">ROUND(2*(F16-$C$7)/$C$8,0)/2+F15</f>
        <v>7946</v>
      </c>
    </row>
    <row r="18" spans="1:31" ht="14.25" thickTop="1" thickBot="1">
      <c r="A18" s="26" t="s">
        <v>5</v>
      </c>
      <c r="B18" s="16"/>
      <c r="C18" s="29">
        <f ca="1">+C15</f>
        <v>56528.303313973731</v>
      </c>
      <c r="D18" s="30">
        <f ca="1">+C16</f>
        <v>2.0369952250320837</v>
      </c>
      <c r="E18" s="24" t="s">
        <v>35</v>
      </c>
      <c r="F18" s="21">
        <f ca="1">ROUND(2*(F16-$C$15)/$C$16,0)/2+F15</f>
        <v>1866.5</v>
      </c>
    </row>
    <row r="19" spans="1:31" ht="13.5" thickTop="1">
      <c r="E19" s="24" t="s">
        <v>36</v>
      </c>
      <c r="F19" s="28">
        <f ca="1">+$C$15+$C$16*F18-15018.5-$C$5/24</f>
        <v>45312.250734829453</v>
      </c>
    </row>
    <row r="20" spans="1:3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51</v>
      </c>
      <c r="I20" s="8" t="s">
        <v>54</v>
      </c>
      <c r="J20" s="8" t="s">
        <v>48</v>
      </c>
      <c r="K20" s="8" t="s">
        <v>46</v>
      </c>
      <c r="L20" s="8" t="s">
        <v>96</v>
      </c>
      <c r="M20" s="8" t="s">
        <v>97</v>
      </c>
      <c r="N20" s="8" t="s">
        <v>98</v>
      </c>
      <c r="O20" s="8" t="s">
        <v>23</v>
      </c>
      <c r="P20" s="7" t="s">
        <v>22</v>
      </c>
      <c r="Q20" s="5" t="s">
        <v>15</v>
      </c>
    </row>
    <row r="21" spans="1:31">
      <c r="A21" t="s">
        <v>12</v>
      </c>
      <c r="C21" s="9">
        <v>44145.455999999998</v>
      </c>
      <c r="D21" s="9" t="s">
        <v>14</v>
      </c>
      <c r="E21">
        <f t="shared" ref="E21:E30" si="0">+(C21-C$7)/C$8</f>
        <v>0</v>
      </c>
      <c r="F21">
        <f t="shared" ref="F21:F32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+C$11+C$12*F21</f>
        <v>-4.6658996303453215E-2</v>
      </c>
      <c r="Q21" s="2">
        <f t="shared" ref="Q21:Q30" si="4">+C21-15018.5</f>
        <v>29126.955999999998</v>
      </c>
    </row>
    <row r="22" spans="1:31">
      <c r="A22" t="s">
        <v>26</v>
      </c>
      <c r="C22" s="10">
        <v>50708.608999999997</v>
      </c>
      <c r="D22" s="9">
        <v>1.1000000000000001E-3</v>
      </c>
      <c r="E22">
        <f t="shared" si="0"/>
        <v>3222.0475602996821</v>
      </c>
      <c r="F22">
        <f t="shared" si="1"/>
        <v>3222</v>
      </c>
      <c r="G22">
        <f t="shared" si="2"/>
        <v>9.6877999996650033E-2</v>
      </c>
      <c r="I22">
        <f>+G22</f>
        <v>9.6877999996650033E-2</v>
      </c>
      <c r="O22">
        <f t="shared" ca="1" si="3"/>
        <v>9.5834057069576956E-2</v>
      </c>
      <c r="Q22" s="2">
        <f t="shared" si="4"/>
        <v>35690.108999999997</v>
      </c>
      <c r="AA22">
        <v>9</v>
      </c>
      <c r="AC22" t="s">
        <v>25</v>
      </c>
      <c r="AE22" t="s">
        <v>27</v>
      </c>
    </row>
    <row r="23" spans="1:31">
      <c r="A23" s="12" t="s">
        <v>30</v>
      </c>
      <c r="B23" s="13" t="s">
        <v>31</v>
      </c>
      <c r="C23" s="14">
        <v>51751.543720000001</v>
      </c>
      <c r="D23" s="14">
        <v>3.2000000000000002E-3</v>
      </c>
      <c r="E23">
        <f t="shared" si="0"/>
        <v>3734.055320918374</v>
      </c>
      <c r="F23">
        <f t="shared" si="1"/>
        <v>3734</v>
      </c>
      <c r="G23">
        <f t="shared" si="2"/>
        <v>0.11268600000039442</v>
      </c>
      <c r="K23">
        <f>+G23</f>
        <v>0.11268600000039442</v>
      </c>
      <c r="O23">
        <f t="shared" ca="1" si="3"/>
        <v>0.11847727349632789</v>
      </c>
      <c r="Q23" s="2">
        <f t="shared" si="4"/>
        <v>36733.043720000001</v>
      </c>
    </row>
    <row r="24" spans="1:31">
      <c r="A24" s="46" t="s">
        <v>72</v>
      </c>
      <c r="B24" s="48" t="s">
        <v>31</v>
      </c>
      <c r="C24" s="47">
        <v>51902.286</v>
      </c>
      <c r="D24" s="47" t="s">
        <v>54</v>
      </c>
      <c r="E24">
        <f t="shared" si="0"/>
        <v>3808.0592022095775</v>
      </c>
      <c r="F24">
        <f t="shared" si="1"/>
        <v>3808</v>
      </c>
      <c r="G24">
        <f t="shared" si="2"/>
        <v>0.1205919999993057</v>
      </c>
      <c r="I24">
        <f>+G24</f>
        <v>0.1205919999993057</v>
      </c>
      <c r="O24">
        <f t="shared" ca="1" si="3"/>
        <v>0.12174992587050673</v>
      </c>
      <c r="Q24" s="2">
        <f t="shared" si="4"/>
        <v>36883.786</v>
      </c>
    </row>
    <row r="25" spans="1:31">
      <c r="A25" s="46" t="s">
        <v>76</v>
      </c>
      <c r="B25" s="48" t="s">
        <v>31</v>
      </c>
      <c r="C25" s="47">
        <v>52136.535000000003</v>
      </c>
      <c r="D25" s="47" t="s">
        <v>54</v>
      </c>
      <c r="E25">
        <f t="shared" si="0"/>
        <v>3923.0590230201929</v>
      </c>
      <c r="F25">
        <f t="shared" si="1"/>
        <v>3923</v>
      </c>
      <c r="G25">
        <f t="shared" si="2"/>
        <v>0.12022700000670739</v>
      </c>
      <c r="I25">
        <f>+G25</f>
        <v>0.12022700000670739</v>
      </c>
      <c r="O25">
        <f t="shared" ca="1" si="3"/>
        <v>0.12683580456010898</v>
      </c>
      <c r="Q25" s="2">
        <f t="shared" si="4"/>
        <v>37118.035000000003</v>
      </c>
    </row>
    <row r="26" spans="1:31">
      <c r="A26" s="46" t="s">
        <v>80</v>
      </c>
      <c r="B26" s="48" t="s">
        <v>31</v>
      </c>
      <c r="C26" s="47">
        <v>52287.296000000002</v>
      </c>
      <c r="D26" s="47" t="s">
        <v>54</v>
      </c>
      <c r="E26">
        <f t="shared" si="0"/>
        <v>3997.0720945177391</v>
      </c>
      <c r="F26">
        <f t="shared" si="1"/>
        <v>3997</v>
      </c>
      <c r="G26">
        <f t="shared" si="2"/>
        <v>0.14685300000564894</v>
      </c>
      <c r="I26">
        <f>+G26</f>
        <v>0.14685300000564894</v>
      </c>
      <c r="O26">
        <f t="shared" ca="1" si="3"/>
        <v>0.13010845693428782</v>
      </c>
      <c r="Q26" s="2">
        <f t="shared" si="4"/>
        <v>37268.796000000002</v>
      </c>
    </row>
    <row r="27" spans="1:31">
      <c r="A27" s="46" t="s">
        <v>38</v>
      </c>
      <c r="B27" s="48" t="s">
        <v>31</v>
      </c>
      <c r="C27" s="47">
        <v>54766.299800000001</v>
      </c>
      <c r="D27" s="47" t="s">
        <v>54</v>
      </c>
      <c r="E27">
        <f t="shared" si="0"/>
        <v>5214.0889987044366</v>
      </c>
      <c r="F27">
        <f t="shared" si="1"/>
        <v>5214</v>
      </c>
      <c r="G27">
        <f t="shared" si="2"/>
        <v>0.18128599999909056</v>
      </c>
      <c r="I27">
        <f>+G27</f>
        <v>0.18128599999909056</v>
      </c>
      <c r="O27">
        <f t="shared" ca="1" si="3"/>
        <v>0.18393032097990475</v>
      </c>
      <c r="Q27" s="2">
        <f t="shared" si="4"/>
        <v>39747.799800000001</v>
      </c>
    </row>
    <row r="28" spans="1:31">
      <c r="A28" s="49" t="s">
        <v>38</v>
      </c>
      <c r="B28" s="50" t="s">
        <v>31</v>
      </c>
      <c r="C28" s="51">
        <v>54766.299879999999</v>
      </c>
      <c r="D28" s="51">
        <v>2.9999999999999997E-4</v>
      </c>
      <c r="E28">
        <f t="shared" si="0"/>
        <v>5214.0890379788216</v>
      </c>
      <c r="F28">
        <f t="shared" si="1"/>
        <v>5214</v>
      </c>
      <c r="G28">
        <f t="shared" si="2"/>
        <v>0.18136599999706959</v>
      </c>
      <c r="K28">
        <f>+G28</f>
        <v>0.18136599999706959</v>
      </c>
      <c r="O28">
        <f t="shared" ca="1" si="3"/>
        <v>0.18393032097990475</v>
      </c>
      <c r="Q28" s="2">
        <f t="shared" si="4"/>
        <v>39747.799879999999</v>
      </c>
    </row>
    <row r="29" spans="1:31">
      <c r="A29" s="49" t="s">
        <v>43</v>
      </c>
      <c r="B29" s="49"/>
      <c r="C29" s="51">
        <v>55483.317900000002</v>
      </c>
      <c r="D29" s="51">
        <v>1.2999999999999999E-3</v>
      </c>
      <c r="E29">
        <f t="shared" si="0"/>
        <v>5566.0945697761026</v>
      </c>
      <c r="F29">
        <f t="shared" si="1"/>
        <v>5566</v>
      </c>
      <c r="G29">
        <f t="shared" si="2"/>
        <v>0.1926339999990887</v>
      </c>
      <c r="J29">
        <f>+G29</f>
        <v>0.1926339999990887</v>
      </c>
      <c r="O29">
        <f t="shared" ca="1" si="3"/>
        <v>0.199497532273296</v>
      </c>
      <c r="Q29" s="2">
        <f t="shared" si="4"/>
        <v>40464.817900000002</v>
      </c>
    </row>
    <row r="30" spans="1:31">
      <c r="A30" s="52" t="s">
        <v>39</v>
      </c>
      <c r="B30" s="53" t="s">
        <v>31</v>
      </c>
      <c r="C30" s="52">
        <v>55843.874600000003</v>
      </c>
      <c r="D30" s="52">
        <v>8.9999999999999998E-4</v>
      </c>
      <c r="E30">
        <f t="shared" si="0"/>
        <v>5743.1026077701445</v>
      </c>
      <c r="F30">
        <f t="shared" si="1"/>
        <v>5743</v>
      </c>
      <c r="G30">
        <f t="shared" si="2"/>
        <v>0.20900700000493089</v>
      </c>
      <c r="K30">
        <f>+G30</f>
        <v>0.20900700000493089</v>
      </c>
      <c r="O30">
        <f t="shared" ca="1" si="3"/>
        <v>0.20732536295207515</v>
      </c>
      <c r="Q30" s="2">
        <f t="shared" si="4"/>
        <v>40825.374600000003</v>
      </c>
    </row>
    <row r="31" spans="1:31">
      <c r="A31" s="54" t="s">
        <v>99</v>
      </c>
      <c r="B31" s="55" t="s">
        <v>31</v>
      </c>
      <c r="C31" s="56">
        <v>56365.344640000003</v>
      </c>
      <c r="D31" s="56">
        <v>2.9999999999999997E-4</v>
      </c>
      <c r="E31">
        <f>+(C31-C$7)/C$8</f>
        <v>5999.1078037714233</v>
      </c>
      <c r="F31">
        <f t="shared" si="1"/>
        <v>5999</v>
      </c>
      <c r="G31">
        <f>+C31-(C$7+F31*C$8)</f>
        <v>0.21959100000094622</v>
      </c>
      <c r="K31">
        <f>+G31</f>
        <v>0.21959100000094622</v>
      </c>
      <c r="O31">
        <f ca="1">+C$11+C$12*F31</f>
        <v>0.21864697116545057</v>
      </c>
      <c r="Q31" s="2">
        <f>+C31-15018.5</f>
        <v>41346.844640000003</v>
      </c>
    </row>
    <row r="32" spans="1:31">
      <c r="A32" s="54" t="s">
        <v>99</v>
      </c>
      <c r="B32" s="55" t="s">
        <v>31</v>
      </c>
      <c r="C32" s="56">
        <v>56528.308530000002</v>
      </c>
      <c r="D32" s="56">
        <v>2.0000000000000001E-4</v>
      </c>
      <c r="E32">
        <f>+(C32-C$7)/C$8</f>
        <v>6079.1116379333635</v>
      </c>
      <c r="F32">
        <f t="shared" si="1"/>
        <v>6079</v>
      </c>
      <c r="G32">
        <f>+C32-(C$7+F32*C$8)</f>
        <v>0.22740100000373786</v>
      </c>
      <c r="K32">
        <f>+G32</f>
        <v>0.22740100000373786</v>
      </c>
      <c r="O32">
        <f ca="1">+C$11+C$12*F32</f>
        <v>0.22218497373213042</v>
      </c>
      <c r="Q32" s="2">
        <f>+C32-15018.5</f>
        <v>41509.808530000002</v>
      </c>
    </row>
    <row r="33" spans="3:4">
      <c r="C33" s="9"/>
      <c r="D33" s="9"/>
    </row>
    <row r="34" spans="3:4">
      <c r="C34" s="9"/>
      <c r="D34" s="9"/>
    </row>
    <row r="35" spans="3:4">
      <c r="C35" s="9"/>
      <c r="D35" s="9"/>
    </row>
    <row r="36" spans="3:4">
      <c r="C36" s="9"/>
      <c r="D36" s="9"/>
    </row>
    <row r="37" spans="3:4">
      <c r="C37" s="9"/>
      <c r="D37" s="9"/>
    </row>
    <row r="38" spans="3:4">
      <c r="C38" s="9"/>
      <c r="D38" s="9"/>
    </row>
    <row r="39" spans="3:4">
      <c r="C39" s="9"/>
      <c r="D39" s="9"/>
    </row>
    <row r="40" spans="3:4">
      <c r="C40" s="9"/>
      <c r="D40" s="9"/>
    </row>
    <row r="41" spans="3:4">
      <c r="C41" s="9"/>
      <c r="D41" s="9"/>
    </row>
    <row r="42" spans="3:4">
      <c r="C42" s="9"/>
      <c r="D42" s="9"/>
    </row>
    <row r="43" spans="3:4">
      <c r="C43" s="9"/>
      <c r="D43" s="9"/>
    </row>
    <row r="44" spans="3:4">
      <c r="C44" s="9"/>
      <c r="D44" s="9"/>
    </row>
    <row r="45" spans="3:4">
      <c r="C45" s="9"/>
      <c r="D45" s="9"/>
    </row>
    <row r="46" spans="3:4">
      <c r="C46" s="9"/>
      <c r="D46" s="9"/>
    </row>
    <row r="47" spans="3:4">
      <c r="C47" s="9"/>
      <c r="D47" s="9"/>
    </row>
    <row r="48" spans="3:4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</sheetData>
  <phoneticPr fontId="7" type="noConversion"/>
  <hyperlinks>
    <hyperlink ref="H238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2"/>
  <sheetViews>
    <sheetView workbookViewId="0">
      <selection activeCell="A15" sqref="A15:D18"/>
    </sheetView>
  </sheetViews>
  <sheetFormatPr defaultRowHeight="12.75"/>
  <cols>
    <col min="1" max="1" width="19.7109375" style="9" customWidth="1"/>
    <col min="2" max="2" width="4.42578125" style="16" customWidth="1"/>
    <col min="3" max="3" width="12.7109375" style="9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9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3" t="s">
        <v>44</v>
      </c>
      <c r="I1" s="34" t="s">
        <v>45</v>
      </c>
      <c r="J1" s="35" t="s">
        <v>46</v>
      </c>
    </row>
    <row r="2" spans="1:16">
      <c r="I2" s="36" t="s">
        <v>47</v>
      </c>
      <c r="J2" s="37" t="s">
        <v>48</v>
      </c>
    </row>
    <row r="3" spans="1:16">
      <c r="A3" s="38" t="s">
        <v>49</v>
      </c>
      <c r="I3" s="36" t="s">
        <v>50</v>
      </c>
      <c r="J3" s="37" t="s">
        <v>51</v>
      </c>
    </row>
    <row r="4" spans="1:16">
      <c r="I4" s="36" t="s">
        <v>52</v>
      </c>
      <c r="J4" s="37" t="s">
        <v>51</v>
      </c>
    </row>
    <row r="5" spans="1:16" ht="13.5" thickBot="1">
      <c r="I5" s="39" t="s">
        <v>53</v>
      </c>
      <c r="J5" s="40" t="s">
        <v>54</v>
      </c>
    </row>
    <row r="10" spans="1:16" ht="13.5" thickBot="1"/>
    <row r="11" spans="1:16" ht="12.75" customHeight="1" thickBot="1">
      <c r="A11" s="9" t="str">
        <f t="shared" ref="A11:A18" si="0">P11</f>
        <v> BBS 116 </v>
      </c>
      <c r="B11" s="19" t="str">
        <f t="shared" ref="B11:B18" si="1">IF(H11=INT(H11),"I","II")</f>
        <v>I</v>
      </c>
      <c r="C11" s="9">
        <f t="shared" ref="C11:C18" si="2">1*G11</f>
        <v>50708.608999999997</v>
      </c>
      <c r="D11" s="16" t="str">
        <f t="shared" ref="D11:D18" si="3">VLOOKUP(F11,I$1:J$5,2,FALSE)</f>
        <v>vis</v>
      </c>
      <c r="E11" s="41">
        <f>VLOOKUP(C11,Active!C$21:E$973,3,FALSE)</f>
        <v>3222.0475602996821</v>
      </c>
      <c r="F11" s="19" t="s">
        <v>53</v>
      </c>
      <c r="G11" s="16" t="str">
        <f t="shared" ref="G11:G18" si="4">MID(I11,3,LEN(I11)-3)</f>
        <v>50708.609</v>
      </c>
      <c r="H11" s="9">
        <f t="shared" ref="H11:H18" si="5">1*K11</f>
        <v>3222</v>
      </c>
      <c r="I11" s="42" t="s">
        <v>55</v>
      </c>
      <c r="J11" s="43" t="s">
        <v>56</v>
      </c>
      <c r="K11" s="42">
        <v>3222</v>
      </c>
      <c r="L11" s="42" t="s">
        <v>57</v>
      </c>
      <c r="M11" s="43" t="s">
        <v>58</v>
      </c>
      <c r="N11" s="43" t="s">
        <v>59</v>
      </c>
      <c r="O11" s="44" t="s">
        <v>60</v>
      </c>
      <c r="P11" s="44" t="s">
        <v>61</v>
      </c>
    </row>
    <row r="12" spans="1:16" ht="12.75" customHeight="1" thickBot="1">
      <c r="A12" s="9" t="str">
        <f t="shared" si="0"/>
        <v>OEJV 0074 </v>
      </c>
      <c r="B12" s="19" t="str">
        <f t="shared" si="1"/>
        <v>I</v>
      </c>
      <c r="C12" s="9">
        <f t="shared" si="2"/>
        <v>51751.543720000001</v>
      </c>
      <c r="D12" s="16" t="str">
        <f t="shared" si="3"/>
        <v>vis</v>
      </c>
      <c r="E12" s="41">
        <f>VLOOKUP(C12,Active!C$21:E$973,3,FALSE)</f>
        <v>3734.055320918374</v>
      </c>
      <c r="F12" s="19" t="s">
        <v>53</v>
      </c>
      <c r="G12" s="16" t="str">
        <f t="shared" si="4"/>
        <v>51751.54372</v>
      </c>
      <c r="H12" s="9">
        <f t="shared" si="5"/>
        <v>3734</v>
      </c>
      <c r="I12" s="42" t="s">
        <v>62</v>
      </c>
      <c r="J12" s="43" t="s">
        <v>63</v>
      </c>
      <c r="K12" s="42">
        <v>3734</v>
      </c>
      <c r="L12" s="42" t="s">
        <v>64</v>
      </c>
      <c r="M12" s="43" t="s">
        <v>65</v>
      </c>
      <c r="N12" s="43" t="s">
        <v>66</v>
      </c>
      <c r="O12" s="44" t="s">
        <v>67</v>
      </c>
      <c r="P12" s="45" t="s">
        <v>68</v>
      </c>
    </row>
    <row r="13" spans="1:16" ht="12.75" customHeight="1" thickBot="1">
      <c r="A13" s="9" t="str">
        <f t="shared" si="0"/>
        <v>BAVM 215 </v>
      </c>
      <c r="B13" s="19" t="str">
        <f t="shared" si="1"/>
        <v>I</v>
      </c>
      <c r="C13" s="9">
        <f t="shared" si="2"/>
        <v>55483.317900000002</v>
      </c>
      <c r="D13" s="16" t="str">
        <f t="shared" si="3"/>
        <v>vis</v>
      </c>
      <c r="E13" s="41">
        <f>VLOOKUP(C13,Active!C$21:E$973,3,FALSE)</f>
        <v>5566.0945697761026</v>
      </c>
      <c r="F13" s="19" t="s">
        <v>53</v>
      </c>
      <c r="G13" s="16" t="str">
        <f t="shared" si="4"/>
        <v>55483.3179</v>
      </c>
      <c r="H13" s="9">
        <f t="shared" si="5"/>
        <v>5566</v>
      </c>
      <c r="I13" s="42" t="s">
        <v>87</v>
      </c>
      <c r="J13" s="43" t="s">
        <v>88</v>
      </c>
      <c r="K13" s="42">
        <v>5566</v>
      </c>
      <c r="L13" s="42" t="s">
        <v>89</v>
      </c>
      <c r="M13" s="43" t="s">
        <v>65</v>
      </c>
      <c r="N13" s="43" t="s">
        <v>66</v>
      </c>
      <c r="O13" s="44" t="s">
        <v>90</v>
      </c>
      <c r="P13" s="45" t="s">
        <v>91</v>
      </c>
    </row>
    <row r="14" spans="1:16" ht="12.75" customHeight="1" thickBot="1">
      <c r="A14" s="9" t="str">
        <f t="shared" si="0"/>
        <v>IBVS 6011 </v>
      </c>
      <c r="B14" s="19" t="str">
        <f t="shared" si="1"/>
        <v>I</v>
      </c>
      <c r="C14" s="9">
        <f t="shared" si="2"/>
        <v>55843.874600000003</v>
      </c>
      <c r="D14" s="16" t="str">
        <f t="shared" si="3"/>
        <v>vis</v>
      </c>
      <c r="E14" s="41">
        <f>VLOOKUP(C14,Active!C$21:E$973,3,FALSE)</f>
        <v>5743.1026077701445</v>
      </c>
      <c r="F14" s="19" t="s">
        <v>53</v>
      </c>
      <c r="G14" s="16" t="str">
        <f t="shared" si="4"/>
        <v>55843.8746</v>
      </c>
      <c r="H14" s="9">
        <f t="shared" si="5"/>
        <v>5743</v>
      </c>
      <c r="I14" s="42" t="s">
        <v>92</v>
      </c>
      <c r="J14" s="43" t="s">
        <v>93</v>
      </c>
      <c r="K14" s="42">
        <v>5743</v>
      </c>
      <c r="L14" s="42" t="s">
        <v>94</v>
      </c>
      <c r="M14" s="43" t="s">
        <v>65</v>
      </c>
      <c r="N14" s="43" t="s">
        <v>53</v>
      </c>
      <c r="O14" s="44" t="s">
        <v>60</v>
      </c>
      <c r="P14" s="45" t="s">
        <v>95</v>
      </c>
    </row>
    <row r="15" spans="1:16" ht="12.75" customHeight="1" thickBot="1">
      <c r="A15" s="9" t="str">
        <f t="shared" si="0"/>
        <v> BBS 124 </v>
      </c>
      <c r="B15" s="19" t="str">
        <f t="shared" si="1"/>
        <v>I</v>
      </c>
      <c r="C15" s="9">
        <f t="shared" si="2"/>
        <v>51902.286</v>
      </c>
      <c r="D15" s="16" t="str">
        <f t="shared" si="3"/>
        <v>vis</v>
      </c>
      <c r="E15" s="41">
        <f>VLOOKUP(C15,Active!C$21:E$973,3,FALSE)</f>
        <v>3808.0592022095775</v>
      </c>
      <c r="F15" s="19" t="s">
        <v>53</v>
      </c>
      <c r="G15" s="16" t="str">
        <f t="shared" si="4"/>
        <v>51902.2860</v>
      </c>
      <c r="H15" s="9">
        <f t="shared" si="5"/>
        <v>3808</v>
      </c>
      <c r="I15" s="42" t="s">
        <v>69</v>
      </c>
      <c r="J15" s="43" t="s">
        <v>70</v>
      </c>
      <c r="K15" s="42">
        <v>3808</v>
      </c>
      <c r="L15" s="42" t="s">
        <v>71</v>
      </c>
      <c r="M15" s="43" t="s">
        <v>58</v>
      </c>
      <c r="N15" s="43" t="s">
        <v>59</v>
      </c>
      <c r="O15" s="44" t="s">
        <v>60</v>
      </c>
      <c r="P15" s="44" t="s">
        <v>72</v>
      </c>
    </row>
    <row r="16" spans="1:16" ht="12.75" customHeight="1" thickBot="1">
      <c r="A16" s="9" t="str">
        <f t="shared" si="0"/>
        <v> BBS 126 </v>
      </c>
      <c r="B16" s="19" t="str">
        <f t="shared" si="1"/>
        <v>I</v>
      </c>
      <c r="C16" s="9">
        <f t="shared" si="2"/>
        <v>52136.535000000003</v>
      </c>
      <c r="D16" s="16" t="str">
        <f t="shared" si="3"/>
        <v>vis</v>
      </c>
      <c r="E16" s="41">
        <f>VLOOKUP(C16,Active!C$21:E$973,3,FALSE)</f>
        <v>3923.0590230201929</v>
      </c>
      <c r="F16" s="19" t="s">
        <v>53</v>
      </c>
      <c r="G16" s="16" t="str">
        <f t="shared" si="4"/>
        <v>52136.535</v>
      </c>
      <c r="H16" s="9">
        <f t="shared" si="5"/>
        <v>3923</v>
      </c>
      <c r="I16" s="42" t="s">
        <v>73</v>
      </c>
      <c r="J16" s="43" t="s">
        <v>74</v>
      </c>
      <c r="K16" s="42">
        <v>3923</v>
      </c>
      <c r="L16" s="42" t="s">
        <v>75</v>
      </c>
      <c r="M16" s="43" t="s">
        <v>58</v>
      </c>
      <c r="N16" s="43" t="s">
        <v>59</v>
      </c>
      <c r="O16" s="44" t="s">
        <v>60</v>
      </c>
      <c r="P16" s="44" t="s">
        <v>76</v>
      </c>
    </row>
    <row r="17" spans="1:16" ht="12.75" customHeight="1" thickBot="1">
      <c r="A17" s="9" t="str">
        <f t="shared" si="0"/>
        <v> BBS 127 </v>
      </c>
      <c r="B17" s="19" t="str">
        <f t="shared" si="1"/>
        <v>I</v>
      </c>
      <c r="C17" s="9">
        <f t="shared" si="2"/>
        <v>52287.296000000002</v>
      </c>
      <c r="D17" s="16" t="str">
        <f t="shared" si="3"/>
        <v>vis</v>
      </c>
      <c r="E17" s="41">
        <f>VLOOKUP(C17,Active!C$21:E$973,3,FALSE)</f>
        <v>3997.0720945177391</v>
      </c>
      <c r="F17" s="19" t="s">
        <v>53</v>
      </c>
      <c r="G17" s="16" t="str">
        <f t="shared" si="4"/>
        <v>52287.296</v>
      </c>
      <c r="H17" s="9">
        <f t="shared" si="5"/>
        <v>3997</v>
      </c>
      <c r="I17" s="42" t="s">
        <v>77</v>
      </c>
      <c r="J17" s="43" t="s">
        <v>78</v>
      </c>
      <c r="K17" s="42">
        <v>3997</v>
      </c>
      <c r="L17" s="42" t="s">
        <v>79</v>
      </c>
      <c r="M17" s="43" t="s">
        <v>58</v>
      </c>
      <c r="N17" s="43" t="s">
        <v>59</v>
      </c>
      <c r="O17" s="44" t="s">
        <v>60</v>
      </c>
      <c r="P17" s="44" t="s">
        <v>80</v>
      </c>
    </row>
    <row r="18" spans="1:16" ht="12.75" customHeight="1" thickBot="1">
      <c r="A18" s="9" t="str">
        <f t="shared" si="0"/>
        <v>OEJV 0107 </v>
      </c>
      <c r="B18" s="19" t="str">
        <f t="shared" si="1"/>
        <v>I</v>
      </c>
      <c r="C18" s="9">
        <f t="shared" si="2"/>
        <v>54766.299800000001</v>
      </c>
      <c r="D18" s="16" t="str">
        <f t="shared" si="3"/>
        <v>vis</v>
      </c>
      <c r="E18" s="41">
        <f>VLOOKUP(C18,Active!C$21:E$973,3,FALSE)</f>
        <v>5214.0889987044366</v>
      </c>
      <c r="F18" s="19" t="s">
        <v>53</v>
      </c>
      <c r="G18" s="16" t="str">
        <f t="shared" si="4"/>
        <v>54766.2998</v>
      </c>
      <c r="H18" s="9">
        <f t="shared" si="5"/>
        <v>5214</v>
      </c>
      <c r="I18" s="42" t="s">
        <v>81</v>
      </c>
      <c r="J18" s="43" t="s">
        <v>82</v>
      </c>
      <c r="K18" s="42">
        <v>5214</v>
      </c>
      <c r="L18" s="42" t="s">
        <v>83</v>
      </c>
      <c r="M18" s="43" t="s">
        <v>65</v>
      </c>
      <c r="N18" s="43" t="s">
        <v>84</v>
      </c>
      <c r="O18" s="44" t="s">
        <v>85</v>
      </c>
      <c r="P18" s="45" t="s">
        <v>86</v>
      </c>
    </row>
    <row r="19" spans="1:16">
      <c r="B19" s="19"/>
      <c r="F19" s="19"/>
    </row>
    <row r="20" spans="1:16">
      <c r="B20" s="19"/>
      <c r="F20" s="19"/>
    </row>
    <row r="21" spans="1:16">
      <c r="B21" s="19"/>
      <c r="F21" s="19"/>
    </row>
    <row r="22" spans="1:16">
      <c r="B22" s="19"/>
      <c r="F22" s="19"/>
    </row>
    <row r="23" spans="1:16">
      <c r="B23" s="19"/>
      <c r="F23" s="19"/>
    </row>
    <row r="24" spans="1:16">
      <c r="B24" s="19"/>
      <c r="F24" s="19"/>
    </row>
    <row r="25" spans="1:16">
      <c r="B25" s="19"/>
      <c r="F25" s="19"/>
    </row>
    <row r="26" spans="1:16">
      <c r="B26" s="19"/>
      <c r="F26" s="19"/>
    </row>
    <row r="27" spans="1:16">
      <c r="B27" s="19"/>
      <c r="F27" s="19"/>
    </row>
    <row r="28" spans="1:16">
      <c r="B28" s="19"/>
      <c r="F28" s="19"/>
    </row>
    <row r="29" spans="1:16">
      <c r="B29" s="19"/>
      <c r="F29" s="19"/>
    </row>
    <row r="30" spans="1:16">
      <c r="B30" s="19"/>
      <c r="F30" s="19"/>
    </row>
    <row r="31" spans="1:16">
      <c r="B31" s="19"/>
      <c r="F31" s="19"/>
    </row>
    <row r="32" spans="1:16">
      <c r="B32" s="19"/>
      <c r="F32" s="19"/>
    </row>
    <row r="33" spans="2:6">
      <c r="B33" s="19"/>
      <c r="F33" s="19"/>
    </row>
    <row r="34" spans="2:6">
      <c r="B34" s="19"/>
      <c r="F34" s="19"/>
    </row>
    <row r="35" spans="2:6">
      <c r="B35" s="19"/>
      <c r="F35" s="19"/>
    </row>
    <row r="36" spans="2:6">
      <c r="B36" s="19"/>
      <c r="F36" s="19"/>
    </row>
    <row r="37" spans="2:6">
      <c r="B37" s="19"/>
      <c r="F37" s="19"/>
    </row>
    <row r="38" spans="2:6">
      <c r="B38" s="19"/>
      <c r="F38" s="19"/>
    </row>
    <row r="39" spans="2:6">
      <c r="B39" s="19"/>
      <c r="F39" s="19"/>
    </row>
    <row r="40" spans="2:6">
      <c r="B40" s="19"/>
      <c r="F40" s="19"/>
    </row>
    <row r="41" spans="2:6">
      <c r="B41" s="19"/>
      <c r="F41" s="19"/>
    </row>
    <row r="42" spans="2:6">
      <c r="B42" s="19"/>
      <c r="F42" s="19"/>
    </row>
    <row r="43" spans="2:6">
      <c r="B43" s="19"/>
      <c r="F43" s="19"/>
    </row>
    <row r="44" spans="2:6">
      <c r="B44" s="19"/>
      <c r="F44" s="19"/>
    </row>
    <row r="45" spans="2:6">
      <c r="B45" s="19"/>
      <c r="F45" s="19"/>
    </row>
    <row r="46" spans="2:6">
      <c r="B46" s="19"/>
      <c r="F46" s="19"/>
    </row>
    <row r="47" spans="2:6">
      <c r="B47" s="19"/>
      <c r="F47" s="19"/>
    </row>
    <row r="48" spans="2:6">
      <c r="B48" s="19"/>
      <c r="F48" s="19"/>
    </row>
    <row r="49" spans="2:6">
      <c r="B49" s="19"/>
      <c r="F49" s="19"/>
    </row>
    <row r="50" spans="2:6">
      <c r="B50" s="19"/>
      <c r="F50" s="19"/>
    </row>
    <row r="51" spans="2:6">
      <c r="B51" s="19"/>
      <c r="F51" s="19"/>
    </row>
    <row r="52" spans="2:6">
      <c r="B52" s="19"/>
      <c r="F52" s="19"/>
    </row>
    <row r="53" spans="2:6">
      <c r="B53" s="19"/>
      <c r="F53" s="19"/>
    </row>
    <row r="54" spans="2:6">
      <c r="B54" s="19"/>
      <c r="F54" s="19"/>
    </row>
    <row r="55" spans="2:6">
      <c r="B55" s="19"/>
      <c r="F55" s="19"/>
    </row>
    <row r="56" spans="2:6">
      <c r="B56" s="19"/>
      <c r="F56" s="19"/>
    </row>
    <row r="57" spans="2:6">
      <c r="B57" s="19"/>
      <c r="F57" s="19"/>
    </row>
    <row r="58" spans="2:6">
      <c r="B58" s="19"/>
      <c r="F58" s="19"/>
    </row>
    <row r="59" spans="2:6">
      <c r="B59" s="19"/>
      <c r="F59" s="19"/>
    </row>
    <row r="60" spans="2:6">
      <c r="B60" s="19"/>
      <c r="F60" s="19"/>
    </row>
    <row r="61" spans="2:6">
      <c r="B61" s="19"/>
      <c r="F61" s="19"/>
    </row>
    <row r="62" spans="2:6">
      <c r="B62" s="19"/>
      <c r="F62" s="19"/>
    </row>
    <row r="63" spans="2:6">
      <c r="B63" s="19"/>
      <c r="F63" s="19"/>
    </row>
    <row r="64" spans="2:6">
      <c r="B64" s="19"/>
      <c r="F64" s="19"/>
    </row>
    <row r="65" spans="2:6">
      <c r="B65" s="19"/>
      <c r="F65" s="19"/>
    </row>
    <row r="66" spans="2:6">
      <c r="B66" s="19"/>
      <c r="F66" s="19"/>
    </row>
    <row r="67" spans="2:6">
      <c r="B67" s="19"/>
      <c r="F67" s="19"/>
    </row>
    <row r="68" spans="2:6">
      <c r="B68" s="19"/>
      <c r="F68" s="19"/>
    </row>
    <row r="69" spans="2:6">
      <c r="B69" s="19"/>
      <c r="F69" s="19"/>
    </row>
    <row r="70" spans="2:6">
      <c r="B70" s="19"/>
      <c r="F70" s="19"/>
    </row>
    <row r="71" spans="2:6">
      <c r="B71" s="19"/>
      <c r="F71" s="19"/>
    </row>
    <row r="72" spans="2:6">
      <c r="B72" s="19"/>
      <c r="F72" s="19"/>
    </row>
    <row r="73" spans="2:6">
      <c r="B73" s="19"/>
      <c r="F73" s="19"/>
    </row>
    <row r="74" spans="2:6">
      <c r="B74" s="19"/>
      <c r="F74" s="19"/>
    </row>
    <row r="75" spans="2:6">
      <c r="B75" s="19"/>
      <c r="F75" s="19"/>
    </row>
    <row r="76" spans="2:6">
      <c r="B76" s="19"/>
      <c r="F76" s="19"/>
    </row>
    <row r="77" spans="2:6">
      <c r="B77" s="19"/>
      <c r="F77" s="19"/>
    </row>
    <row r="78" spans="2:6">
      <c r="B78" s="19"/>
      <c r="F78" s="19"/>
    </row>
    <row r="79" spans="2:6">
      <c r="B79" s="19"/>
      <c r="F79" s="19"/>
    </row>
    <row r="80" spans="2:6">
      <c r="B80" s="19"/>
      <c r="F80" s="19"/>
    </row>
    <row r="81" spans="2:6">
      <c r="B81" s="19"/>
      <c r="F81" s="19"/>
    </row>
    <row r="82" spans="2:6">
      <c r="B82" s="19"/>
      <c r="F82" s="19"/>
    </row>
    <row r="83" spans="2:6">
      <c r="B83" s="19"/>
      <c r="F83" s="19"/>
    </row>
    <row r="84" spans="2:6">
      <c r="B84" s="19"/>
      <c r="F84" s="19"/>
    </row>
    <row r="85" spans="2:6">
      <c r="B85" s="19"/>
      <c r="F85" s="19"/>
    </row>
    <row r="86" spans="2:6">
      <c r="B86" s="19"/>
      <c r="F86" s="19"/>
    </row>
    <row r="87" spans="2:6">
      <c r="B87" s="19"/>
      <c r="F87" s="19"/>
    </row>
    <row r="88" spans="2:6">
      <c r="B88" s="19"/>
      <c r="F88" s="19"/>
    </row>
    <row r="89" spans="2:6">
      <c r="B89" s="19"/>
      <c r="F89" s="19"/>
    </row>
    <row r="90" spans="2:6">
      <c r="B90" s="19"/>
      <c r="F90" s="19"/>
    </row>
    <row r="91" spans="2:6">
      <c r="B91" s="19"/>
      <c r="F91" s="19"/>
    </row>
    <row r="92" spans="2:6">
      <c r="B92" s="19"/>
      <c r="F92" s="19"/>
    </row>
    <row r="93" spans="2:6">
      <c r="B93" s="19"/>
      <c r="F93" s="19"/>
    </row>
    <row r="94" spans="2:6">
      <c r="B94" s="19"/>
      <c r="F94" s="19"/>
    </row>
    <row r="95" spans="2:6">
      <c r="B95" s="19"/>
      <c r="F95" s="19"/>
    </row>
    <row r="96" spans="2: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</sheetData>
  <phoneticPr fontId="7" type="noConversion"/>
  <hyperlinks>
    <hyperlink ref="P12" r:id="rId1" display="http://var.astro.cz/oejv/issues/oejv0074.pdf"/>
    <hyperlink ref="P18" r:id="rId2" display="http://var.astro.cz/oejv/issues/oejv0107.pdf"/>
    <hyperlink ref="P13" r:id="rId3" display="http://www.bav-astro.de/sfs/BAVM_link.php?BAVMnr=215"/>
    <hyperlink ref="P14" r:id="rId4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2024-01-19T04:58:52Z</dcterms:modified>
</cp:coreProperties>
</file>