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4F8FA5-229A-473C-8458-0C582241E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A (old)" sheetId="3" r:id="rId2"/>
    <sheet name="A (2)" sheetId="4" r:id="rId3"/>
    <sheet name="BAV" sheetId="7" r:id="rId4"/>
    <sheet name="A (3)" sheetId="5" r:id="rId5"/>
  </sheets>
  <definedNames>
    <definedName name="lab_basic1" localSheetId="2">'A (2)'!$C$1</definedName>
    <definedName name="lab_basic1" localSheetId="4">'A (3)'!$C$1</definedName>
    <definedName name="lab_basic1" localSheetId="1">'A (old)'!$C$1</definedName>
    <definedName name="lab_basic1" localSheetId="0">Active!$C$1</definedName>
  </definedNames>
  <calcPr calcId="181029"/>
</workbook>
</file>

<file path=xl/calcChain.xml><?xml version="1.0" encoding="utf-8"?>
<calcChain xmlns="http://schemas.openxmlformats.org/spreadsheetml/2006/main">
  <c r="E22" i="4" l="1"/>
  <c r="F22" i="4" s="1"/>
  <c r="G22" i="4" s="1"/>
  <c r="I22" i="4" s="1"/>
  <c r="Q22" i="4"/>
  <c r="E23" i="4"/>
  <c r="F23" i="4" s="1"/>
  <c r="G23" i="4" s="1"/>
  <c r="I23" i="4" s="1"/>
  <c r="Q23" i="4"/>
  <c r="E27" i="4"/>
  <c r="F27" i="4" s="1"/>
  <c r="G27" i="4" s="1"/>
  <c r="I27" i="4" s="1"/>
  <c r="Q27" i="4"/>
  <c r="E30" i="4"/>
  <c r="F30" i="4" s="1"/>
  <c r="G30" i="4" s="1"/>
  <c r="I30" i="4" s="1"/>
  <c r="Q30" i="4"/>
  <c r="E34" i="4"/>
  <c r="F34" i="4" s="1"/>
  <c r="G34" i="4" s="1"/>
  <c r="I34" i="4" s="1"/>
  <c r="Q34" i="4"/>
  <c r="E37" i="6"/>
  <c r="F37" i="6" s="1"/>
  <c r="G37" i="6" s="1"/>
  <c r="K37" i="6" s="1"/>
  <c r="Q37" i="6"/>
  <c r="E22" i="6"/>
  <c r="F22" i="6"/>
  <c r="G22" i="6"/>
  <c r="K22" i="6"/>
  <c r="E23" i="6"/>
  <c r="F23" i="6"/>
  <c r="G23" i="6"/>
  <c r="K23" i="6"/>
  <c r="E27" i="6"/>
  <c r="F27" i="6"/>
  <c r="G27" i="6"/>
  <c r="K27" i="6"/>
  <c r="E30" i="6"/>
  <c r="F30" i="6"/>
  <c r="G30" i="6"/>
  <c r="K30" i="6"/>
  <c r="E35" i="6"/>
  <c r="F35" i="6"/>
  <c r="G35" i="6"/>
  <c r="I35" i="6"/>
  <c r="E21" i="6"/>
  <c r="F21" i="6"/>
  <c r="U21" i="6"/>
  <c r="E25" i="6"/>
  <c r="F25" i="6"/>
  <c r="G25" i="6"/>
  <c r="J25" i="6"/>
  <c r="E24" i="6"/>
  <c r="F24" i="6"/>
  <c r="G24" i="6"/>
  <c r="J24" i="6"/>
  <c r="E26" i="6"/>
  <c r="F26" i="6"/>
  <c r="G26" i="6"/>
  <c r="J26" i="6"/>
  <c r="E28" i="6"/>
  <c r="F28" i="6"/>
  <c r="G28" i="6"/>
  <c r="E29" i="6"/>
  <c r="F29" i="6"/>
  <c r="G29" i="6"/>
  <c r="K29" i="6"/>
  <c r="E31" i="6"/>
  <c r="F31" i="6"/>
  <c r="G31" i="6"/>
  <c r="K31" i="6"/>
  <c r="E32" i="6"/>
  <c r="F32" i="6"/>
  <c r="G32" i="6"/>
  <c r="K32" i="6"/>
  <c r="E33" i="6"/>
  <c r="F33" i="6"/>
  <c r="G33" i="6"/>
  <c r="J33" i="6"/>
  <c r="E34" i="6"/>
  <c r="F34" i="6"/>
  <c r="G34" i="6"/>
  <c r="J34" i="6"/>
  <c r="E36" i="6"/>
  <c r="F36" i="6"/>
  <c r="G36" i="6"/>
  <c r="K36" i="6"/>
  <c r="D9" i="6"/>
  <c r="C9" i="6"/>
  <c r="Q22" i="6"/>
  <c r="Q23" i="6"/>
  <c r="Q27" i="6"/>
  <c r="Q30" i="6"/>
  <c r="Q35" i="6"/>
  <c r="G20" i="7"/>
  <c r="C20" i="7"/>
  <c r="E20" i="7"/>
  <c r="G25" i="7"/>
  <c r="C25" i="7"/>
  <c r="E25" i="7"/>
  <c r="G19" i="7"/>
  <c r="C19" i="7"/>
  <c r="E19" i="7"/>
  <c r="G18" i="7"/>
  <c r="C18" i="7"/>
  <c r="E18" i="7"/>
  <c r="G17" i="7"/>
  <c r="C17" i="7"/>
  <c r="E17" i="7"/>
  <c r="G16" i="7"/>
  <c r="C16" i="7"/>
  <c r="E16" i="7"/>
  <c r="G24" i="7"/>
  <c r="C24" i="7"/>
  <c r="E24" i="7"/>
  <c r="G15" i="7"/>
  <c r="C15" i="7"/>
  <c r="E15" i="7"/>
  <c r="G14" i="7"/>
  <c r="C14" i="7"/>
  <c r="E14" i="7"/>
  <c r="G23" i="7"/>
  <c r="C23" i="7"/>
  <c r="E23" i="7"/>
  <c r="G13" i="7"/>
  <c r="C13" i="7"/>
  <c r="E13" i="7"/>
  <c r="G12" i="7"/>
  <c r="C12" i="7"/>
  <c r="E12" i="7"/>
  <c r="G11" i="7"/>
  <c r="C11" i="7"/>
  <c r="E11" i="7"/>
  <c r="G22" i="7"/>
  <c r="C22" i="7"/>
  <c r="E22" i="7"/>
  <c r="G21" i="7"/>
  <c r="C21" i="7"/>
  <c r="E21" i="7"/>
  <c r="H20" i="7"/>
  <c r="D20" i="7"/>
  <c r="B20" i="7"/>
  <c r="A20" i="7"/>
  <c r="H25" i="7"/>
  <c r="B25" i="7"/>
  <c r="D25" i="7"/>
  <c r="A25" i="7"/>
  <c r="H19" i="7"/>
  <c r="D19" i="7"/>
  <c r="B19" i="7"/>
  <c r="A19" i="7"/>
  <c r="H18" i="7"/>
  <c r="B18" i="7"/>
  <c r="D18" i="7"/>
  <c r="A18" i="7"/>
  <c r="H17" i="7"/>
  <c r="D17" i="7"/>
  <c r="B17" i="7"/>
  <c r="A17" i="7"/>
  <c r="H16" i="7"/>
  <c r="B16" i="7"/>
  <c r="D16" i="7"/>
  <c r="A16" i="7"/>
  <c r="H24" i="7"/>
  <c r="D24" i="7"/>
  <c r="B24" i="7"/>
  <c r="A24" i="7"/>
  <c r="H15" i="7"/>
  <c r="B15" i="7"/>
  <c r="D15" i="7"/>
  <c r="A15" i="7"/>
  <c r="H14" i="7"/>
  <c r="D14" i="7"/>
  <c r="B14" i="7"/>
  <c r="A14" i="7"/>
  <c r="H23" i="7"/>
  <c r="B23" i="7"/>
  <c r="D23" i="7"/>
  <c r="A23" i="7"/>
  <c r="H13" i="7"/>
  <c r="D13" i="7"/>
  <c r="B13" i="7"/>
  <c r="A13" i="7"/>
  <c r="H12" i="7"/>
  <c r="B12" i="7"/>
  <c r="D12" i="7"/>
  <c r="A12" i="7"/>
  <c r="H11" i="7"/>
  <c r="D11" i="7"/>
  <c r="B11" i="7"/>
  <c r="A11" i="7"/>
  <c r="H22" i="7"/>
  <c r="B22" i="7"/>
  <c r="D22" i="7"/>
  <c r="A22" i="7"/>
  <c r="H21" i="7"/>
  <c r="D21" i="7"/>
  <c r="B21" i="7"/>
  <c r="A21" i="7"/>
  <c r="Q33" i="6"/>
  <c r="Q36" i="6"/>
  <c r="E24" i="3"/>
  <c r="F24" i="3"/>
  <c r="E29" i="3"/>
  <c r="F29" i="3"/>
  <c r="Q29" i="3"/>
  <c r="Q28" i="3"/>
  <c r="Q27" i="3"/>
  <c r="Q26" i="3"/>
  <c r="Q25" i="3"/>
  <c r="Q24" i="3"/>
  <c r="Q23" i="3"/>
  <c r="Q22" i="3"/>
  <c r="E24" i="4"/>
  <c r="F24" i="4" s="1"/>
  <c r="G24" i="4" s="1"/>
  <c r="I24" i="4" s="1"/>
  <c r="E25" i="4"/>
  <c r="F25" i="4"/>
  <c r="G25" i="4" s="1"/>
  <c r="I25" i="4" s="1"/>
  <c r="E26" i="4"/>
  <c r="F26" i="4" s="1"/>
  <c r="G26" i="4" s="1"/>
  <c r="I26" i="4" s="1"/>
  <c r="E28" i="4"/>
  <c r="F28" i="4"/>
  <c r="G28" i="4" s="1"/>
  <c r="I28" i="4" s="1"/>
  <c r="E29" i="4"/>
  <c r="F29" i="4" s="1"/>
  <c r="G29" i="4" s="1"/>
  <c r="I29" i="4" s="1"/>
  <c r="E31" i="4"/>
  <c r="F31" i="4" s="1"/>
  <c r="G31" i="4" s="1"/>
  <c r="I31" i="4" s="1"/>
  <c r="E32" i="4"/>
  <c r="F32" i="4" s="1"/>
  <c r="G32" i="4" s="1"/>
  <c r="I32" i="4" s="1"/>
  <c r="E33" i="4"/>
  <c r="F33" i="4"/>
  <c r="G33" i="4" s="1"/>
  <c r="I33" i="4" s="1"/>
  <c r="F11" i="4"/>
  <c r="Q33" i="4"/>
  <c r="Q32" i="4"/>
  <c r="Q31" i="4"/>
  <c r="Q29" i="4"/>
  <c r="Q28" i="4"/>
  <c r="Q26" i="4"/>
  <c r="Q25" i="4"/>
  <c r="Q24" i="4"/>
  <c r="E26" i="5"/>
  <c r="F26" i="5"/>
  <c r="G26" i="5"/>
  <c r="I26" i="5"/>
  <c r="E27" i="5"/>
  <c r="F27" i="5"/>
  <c r="G27" i="5"/>
  <c r="I27" i="5"/>
  <c r="E28" i="5"/>
  <c r="F28" i="5"/>
  <c r="G28" i="5"/>
  <c r="I28" i="5"/>
  <c r="E29" i="5"/>
  <c r="F29" i="5"/>
  <c r="G29" i="5"/>
  <c r="I29" i="5"/>
  <c r="F11" i="5"/>
  <c r="Q29" i="5"/>
  <c r="Q28" i="5"/>
  <c r="Q27" i="5"/>
  <c r="Q26" i="5"/>
  <c r="E25" i="5"/>
  <c r="F25" i="5"/>
  <c r="G25" i="5"/>
  <c r="I25" i="5"/>
  <c r="Q25" i="5"/>
  <c r="E24" i="5"/>
  <c r="F24" i="5"/>
  <c r="G24" i="5"/>
  <c r="I24" i="5"/>
  <c r="Q24" i="5"/>
  <c r="E23" i="5"/>
  <c r="F23" i="5"/>
  <c r="G23" i="5"/>
  <c r="I23" i="5"/>
  <c r="Q23" i="5"/>
  <c r="E22" i="5"/>
  <c r="F22" i="5"/>
  <c r="G22" i="5"/>
  <c r="I22" i="5"/>
  <c r="Q22" i="5"/>
  <c r="F16" i="6"/>
  <c r="F17" i="6" s="1"/>
  <c r="C17" i="6"/>
  <c r="Q21" i="6"/>
  <c r="Q24" i="6"/>
  <c r="Q25" i="6"/>
  <c r="Q26" i="6"/>
  <c r="K28" i="6"/>
  <c r="Q28" i="6"/>
  <c r="Q29" i="6"/>
  <c r="Q31" i="6"/>
  <c r="Q32" i="6"/>
  <c r="Q34" i="6"/>
  <c r="G11" i="5"/>
  <c r="E21" i="5"/>
  <c r="F21" i="5"/>
  <c r="E14" i="5"/>
  <c r="E15" i="5" s="1"/>
  <c r="C17" i="5"/>
  <c r="G21" i="5"/>
  <c r="H21" i="5"/>
  <c r="G11" i="4"/>
  <c r="E21" i="4"/>
  <c r="F21" i="4" s="1"/>
  <c r="Q21" i="5"/>
  <c r="E15" i="4"/>
  <c r="C17" i="4"/>
  <c r="Q21" i="4"/>
  <c r="E15" i="3"/>
  <c r="E16" i="3" s="1"/>
  <c r="E17" i="3" s="1"/>
  <c r="C17" i="3"/>
  <c r="C7" i="3"/>
  <c r="E27" i="3"/>
  <c r="F27" i="3"/>
  <c r="E21" i="3"/>
  <c r="F21" i="3"/>
  <c r="Q21" i="3"/>
  <c r="G28" i="3"/>
  <c r="I28" i="3"/>
  <c r="E26" i="3"/>
  <c r="F26" i="3"/>
  <c r="G26" i="3"/>
  <c r="I26" i="3"/>
  <c r="G25" i="3"/>
  <c r="I25" i="3"/>
  <c r="E23" i="3"/>
  <c r="F23" i="3"/>
  <c r="G23" i="3"/>
  <c r="I23" i="3"/>
  <c r="E28" i="3"/>
  <c r="F28" i="3"/>
  <c r="G27" i="3"/>
  <c r="I27" i="3"/>
  <c r="E25" i="3"/>
  <c r="F25" i="3"/>
  <c r="G24" i="3"/>
  <c r="I24" i="3"/>
  <c r="E22" i="3"/>
  <c r="F22" i="3"/>
  <c r="G22" i="3"/>
  <c r="G29" i="3"/>
  <c r="I29" i="3"/>
  <c r="I22" i="3"/>
  <c r="C12" i="3"/>
  <c r="C16" i="3"/>
  <c r="D18" i="3"/>
  <c r="C11" i="3"/>
  <c r="O21" i="3"/>
  <c r="O22" i="3"/>
  <c r="R22" i="3"/>
  <c r="R18" i="3"/>
  <c r="C15" i="3"/>
  <c r="O29" i="3"/>
  <c r="R29" i="3"/>
  <c r="O27" i="3"/>
  <c r="R27" i="3"/>
  <c r="O25" i="3"/>
  <c r="R25" i="3"/>
  <c r="O23" i="3"/>
  <c r="R23" i="3"/>
  <c r="O28" i="3"/>
  <c r="R28" i="3"/>
  <c r="O24" i="3"/>
  <c r="R24" i="3"/>
  <c r="O26" i="3"/>
  <c r="R26" i="3"/>
  <c r="C18" i="3"/>
  <c r="C11" i="6"/>
  <c r="C11" i="4"/>
  <c r="C12" i="6"/>
  <c r="C11" i="5"/>
  <c r="C12" i="4"/>
  <c r="C12" i="5"/>
  <c r="O30" i="4" l="1"/>
  <c r="R30" i="4" s="1"/>
  <c r="O27" i="4"/>
  <c r="R27" i="4" s="1"/>
  <c r="O23" i="4"/>
  <c r="R23" i="4" s="1"/>
  <c r="O22" i="4"/>
  <c r="R22" i="4" s="1"/>
  <c r="O34" i="4"/>
  <c r="R34" i="4" s="1"/>
  <c r="O37" i="6"/>
  <c r="S37" i="6" s="1"/>
  <c r="C16" i="5"/>
  <c r="D18" i="5" s="1"/>
  <c r="C16" i="6"/>
  <c r="D18" i="6" s="1"/>
  <c r="C16" i="4"/>
  <c r="D18" i="4" s="1"/>
  <c r="C15" i="5"/>
  <c r="O23" i="5"/>
  <c r="R23" i="5" s="1"/>
  <c r="O21" i="5"/>
  <c r="O29" i="5"/>
  <c r="R29" i="5" s="1"/>
  <c r="O25" i="5"/>
  <c r="R25" i="5" s="1"/>
  <c r="O28" i="5"/>
  <c r="R28" i="5" s="1"/>
  <c r="O27" i="5"/>
  <c r="R27" i="5" s="1"/>
  <c r="O26" i="5"/>
  <c r="R26" i="5" s="1"/>
  <c r="O22" i="5"/>
  <c r="R22" i="5" s="1"/>
  <c r="O24" i="5"/>
  <c r="R24" i="5" s="1"/>
  <c r="O23" i="6"/>
  <c r="S23" i="6" s="1"/>
  <c r="O36" i="6"/>
  <c r="S36" i="6" s="1"/>
  <c r="O27" i="6"/>
  <c r="S27" i="6" s="1"/>
  <c r="C15" i="6"/>
  <c r="F18" i="6" s="1"/>
  <c r="O28" i="6"/>
  <c r="S28" i="6" s="1"/>
  <c r="O25" i="6"/>
  <c r="S25" i="6" s="1"/>
  <c r="O30" i="6"/>
  <c r="S30" i="6" s="1"/>
  <c r="O24" i="6"/>
  <c r="S24" i="6" s="1"/>
  <c r="O21" i="6"/>
  <c r="O31" i="6"/>
  <c r="S31" i="6" s="1"/>
  <c r="O22" i="6"/>
  <c r="S22" i="6" s="1"/>
  <c r="O32" i="6"/>
  <c r="S32" i="6" s="1"/>
  <c r="O34" i="6"/>
  <c r="S34" i="6" s="1"/>
  <c r="O35" i="6"/>
  <c r="S35" i="6" s="1"/>
  <c r="O26" i="6"/>
  <c r="S26" i="6" s="1"/>
  <c r="O29" i="6"/>
  <c r="S29" i="6" s="1"/>
  <c r="O33" i="6"/>
  <c r="S33" i="6" s="1"/>
  <c r="O21" i="4"/>
  <c r="O28" i="4"/>
  <c r="R28" i="4" s="1"/>
  <c r="C15" i="4"/>
  <c r="O29" i="4"/>
  <c r="R29" i="4" s="1"/>
  <c r="O33" i="4"/>
  <c r="R33" i="4" s="1"/>
  <c r="O25" i="4"/>
  <c r="R25" i="4" s="1"/>
  <c r="O26" i="4"/>
  <c r="R26" i="4" s="1"/>
  <c r="O31" i="4"/>
  <c r="R31" i="4" s="1"/>
  <c r="O24" i="4"/>
  <c r="R24" i="4" s="1"/>
  <c r="O32" i="4"/>
  <c r="R32" i="4" s="1"/>
  <c r="R18" i="4" l="1"/>
  <c r="E16" i="4"/>
  <c r="E17" i="4" s="1"/>
  <c r="R18" i="5"/>
  <c r="S18" i="6"/>
  <c r="C18" i="5"/>
  <c r="E16" i="5"/>
  <c r="E17" i="5" s="1"/>
  <c r="C18" i="4"/>
  <c r="F19" i="6"/>
  <c r="C18" i="6"/>
</calcChain>
</file>

<file path=xl/sharedStrings.xml><?xml version="1.0" encoding="utf-8"?>
<sst xmlns="http://schemas.openxmlformats.org/spreadsheetml/2006/main" count="468" uniqueCount="153">
  <si>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</si>
  <si>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</si>
  <si>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</si>
  <si>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</si>
  <si>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</si>
  <si>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</si>
  <si>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</si>
  <si>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</si>
  <si>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</si>
  <si>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</si>
  <si>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</si>
  <si>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</si>
  <si>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</si>
  <si>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</si>
  <si>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</si>
  <si>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</si>
  <si>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</si>
  <si>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</si>
  <si>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</si>
  <si>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</si>
  <si>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</si>
  <si>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</si>
  <si>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</si>
  <si>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</si>
  <si>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</si>
  <si>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</si>
  <si>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</si>
  <si>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</si>
  <si>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</si>
  <si>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</si>
  <si>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</si>
  <si>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</si>
  <si>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IBVS 5731</t>
  </si>
  <si>
    <t>IBVS 5713</t>
  </si>
  <si>
    <t>II</t>
  </si>
  <si>
    <t>Highly speculative cycle count</t>
  </si>
  <si>
    <t>More data are required!</t>
  </si>
  <si>
    <t>NN Cas / na</t>
  </si>
  <si>
    <t>EB/SD</t>
  </si>
  <si>
    <t>00 22 20.0 +57 30 02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</si>
  <si>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</si>
  <si>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</si>
  <si>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</si>
  <si>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</si>
  <si>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</si>
  <si>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</si>
  <si>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</si>
  <si>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</si>
  <si>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Start of linear fit &gt;&gt;&gt;&gt;&gt;&gt;&gt;&gt;&gt;&gt;&gt;&gt;&gt;&gt;&gt;&gt;&gt;&gt;&gt;&gt;&gt;</t>
  </si>
  <si>
    <t>IBVS 5871</t>
  </si>
  <si>
    <t>Best period by ToMcat</t>
  </si>
  <si>
    <t>2009-02-08</t>
  </si>
  <si>
    <t>IBVS 5920</t>
  </si>
  <si>
    <t>IBVS 5960</t>
  </si>
  <si>
    <t>Add cycle</t>
  </si>
  <si>
    <t>Old Cycle</t>
  </si>
  <si>
    <t>IBVS 6010</t>
  </si>
  <si>
    <t>.0164</t>
  </si>
  <si>
    <t>2012-03-16</t>
  </si>
  <si>
    <t>IBVS 6042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</si>
  <si>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</si>
  <si>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</si>
  <si>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</si>
  <si>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</si>
  <si>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</si>
  <si>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</si>
  <si>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</si>
  <si>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</si>
  <si>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</si>
  <si>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</si>
  <si>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</si>
  <si>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</si>
  <si>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2451575.217 </t>
  </si>
  <si>
    <t> 31.01.2000 17:12 </t>
  </si>
  <si>
    <t> 0.134 </t>
  </si>
  <si>
    <t>E </t>
  </si>
  <si>
    <t>?</t>
  </si>
  <si>
    <t> R.Diethelm </t>
  </si>
  <si>
    <t> BBS 122 </t>
  </si>
  <si>
    <t>2451879.3166 </t>
  </si>
  <si>
    <t> 30.11.2000 19:35 </t>
  </si>
  <si>
    <t> 0.1792 </t>
  </si>
  <si>
    <t> BBS 124 </t>
  </si>
  <si>
    <t>2453654.5647 </t>
  </si>
  <si>
    <t> 11.10.2005 01:33 </t>
  </si>
  <si>
    <t> 0.1418 </t>
  </si>
  <si>
    <t>C </t>
  </si>
  <si>
    <t>-I</t>
  </si>
  <si>
    <t> F.Agerer </t>
  </si>
  <si>
    <t>BAVM 178 </t>
  </si>
  <si>
    <t>2453670.246 </t>
  </si>
  <si>
    <t> 26.10.2005 17:54 </t>
  </si>
  <si>
    <t>26221.5</t>
  </si>
  <si>
    <t> 0.130 </t>
  </si>
  <si>
    <t>IBVS 5713 </t>
  </si>
  <si>
    <t>2454019.4230 </t>
  </si>
  <si>
    <t> 10.10.2006 22:09 </t>
  </si>
  <si>
    <t>26577.5</t>
  </si>
  <si>
    <t> 0.1348 </t>
  </si>
  <si>
    <t>BAVM 183 </t>
  </si>
  <si>
    <t>2454374.4781 </t>
  </si>
  <si>
    <t> 30.09.2007 23:28 </t>
  </si>
  <si>
    <t>26939.5</t>
  </si>
  <si>
    <t> 0.1329 </t>
  </si>
  <si>
    <t>BAVM 193 </t>
  </si>
  <si>
    <t>2454768.7611 </t>
  </si>
  <si>
    <t> 29.10.2008 06:15 </t>
  </si>
  <si>
    <t>27341.5</t>
  </si>
  <si>
    <t> 0.1259 </t>
  </si>
  <si>
    <t>IBVS 5871 </t>
  </si>
  <si>
    <t>2454800.638 </t>
  </si>
  <si>
    <t> 30.11.2008 03:18 </t>
  </si>
  <si>
    <t>27374</t>
  </si>
  <si>
    <t> 0.126 </t>
  </si>
  <si>
    <t>2455063.4971 </t>
  </si>
  <si>
    <t> 19.08.2009 23:55 </t>
  </si>
  <si>
    <t>27642</t>
  </si>
  <si>
    <t> 0.1253 </t>
  </si>
  <si>
    <t>BAVM 212 </t>
  </si>
  <si>
    <t>2455158.6342 </t>
  </si>
  <si>
    <t> 23.11.2009 03:13 </t>
  </si>
  <si>
    <t>27739</t>
  </si>
  <si>
    <t> 0.1228 </t>
  </si>
  <si>
    <t>IBVS 5920 </t>
  </si>
  <si>
    <t>2455511.7094 </t>
  </si>
  <si>
    <t> 11.11.2010 05:01 </t>
  </si>
  <si>
    <t>28099</t>
  </si>
  <si>
    <t> 0.1026 </t>
  </si>
  <si>
    <t>IBVS 5960 </t>
  </si>
  <si>
    <t>2455514.6531 </t>
  </si>
  <si>
    <t> 14.11.2010 03:40 </t>
  </si>
  <si>
    <t>28102</t>
  </si>
  <si>
    <t> 0.1038 </t>
  </si>
  <si>
    <t>BAVM 215 </t>
  </si>
  <si>
    <t>2455776.5360 </t>
  </si>
  <si>
    <t> 03.08.2011 00:51 </t>
  </si>
  <si>
    <t>28369</t>
  </si>
  <si>
    <t> 0.1076 </t>
  </si>
  <si>
    <t>BAVM 220 </t>
  </si>
  <si>
    <t>2455856.4737 </t>
  </si>
  <si>
    <t> 21.10.2011 23:22 </t>
  </si>
  <si>
    <t>28450.5</t>
  </si>
  <si>
    <t> 0.1084 </t>
  </si>
  <si>
    <t>BAVM 225 </t>
  </si>
  <si>
    <t>2456254.6716 </t>
  </si>
  <si>
    <t> 23.11.2012 04:07 </t>
  </si>
  <si>
    <t>28856.5</t>
  </si>
  <si>
    <t> 0.0931 </t>
  </si>
  <si>
    <t>IBVS 6042 </t>
  </si>
  <si>
    <t>s7</t>
  </si>
  <si>
    <t>BAD?</t>
  </si>
  <si>
    <t>CCD?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</si>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</sst>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0" xfId="0" applyFont="1" applyAlignment="1"/>
    <xf numFmtId="0" fontId="16" fillId="0" borderId="0" xfId="0" quotePrefix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quotePrefix="1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3" fillId="2" borderId="11" xfId="7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047044975517021"/>
          <c:w val="0.80960330350018717"/>
          <c:h val="0.6206906052400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0-4A89-B117-5D0CD7F39B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4">
                  <c:v>-2.7150000023539178E-3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0-4A89-B117-5D0CD7F39B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">
                  <c:v>0</c:v>
                </c:pt>
                <c:pt idx="4">
                  <c:v>-1.1612000002060086E-2</c:v>
                </c:pt>
                <c:pt idx="5">
                  <c:v>-1.9039999970118515E-3</c:v>
                </c:pt>
                <c:pt idx="12">
                  <c:v>-1.207550000253832E-2</c:v>
                </c:pt>
                <c:pt idx="13">
                  <c:v>-4.6445000043604523E-3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E0-4A89-B117-5D0CD7F39B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-3.6860000007436611E-2</c:v>
                </c:pt>
                <c:pt idx="2">
                  <c:v>1.2569999998959247E-2</c:v>
                </c:pt>
                <c:pt idx="6">
                  <c:v>1.061999995727092E-3</c:v>
                </c:pt>
                <c:pt idx="7">
                  <c:v>-3.5200000274926424E-4</c:v>
                </c:pt>
                <c:pt idx="8">
                  <c:v>3.2049999572336674E-4</c:v>
                </c:pt>
                <c:pt idx="9">
                  <c:v>3.1444999985978939E-3</c:v>
                </c:pt>
                <c:pt idx="10">
                  <c:v>1.9654999996419065E-3</c:v>
                </c:pt>
                <c:pt idx="11">
                  <c:v>-1.3354500006244052E-2</c:v>
                </c:pt>
                <c:pt idx="15">
                  <c:v>-1.2457000004360452E-2</c:v>
                </c:pt>
                <c:pt idx="16">
                  <c:v>-3.2365999999456108E-2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E0-4A89-B117-5D0CD7F39B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E0-4A89-B117-5D0CD7F39B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E0-4A89-B117-5D0CD7F39B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E0-4A89-B117-5D0CD7F39B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4.2882664032896187E-2</c:v>
                </c:pt>
                <c:pt idx="1">
                  <c:v>-8.221824215419401E-4</c:v>
                </c:pt>
                <c:pt idx="2">
                  <c:v>-1.384687710958025E-3</c:v>
                </c:pt>
                <c:pt idx="3">
                  <c:v>-4.6689927878712945E-3</c:v>
                </c:pt>
                <c:pt idx="4">
                  <c:v>-4.6980253189379314E-3</c:v>
                </c:pt>
                <c:pt idx="5">
                  <c:v>-5.3439991351705964E-3</c:v>
                </c:pt>
                <c:pt idx="6">
                  <c:v>-6.0008601505532506E-3</c:v>
                </c:pt>
                <c:pt idx="7">
                  <c:v>-6.7303024936024962E-3</c:v>
                </c:pt>
                <c:pt idx="8">
                  <c:v>-6.7892748223316018E-3</c:v>
                </c:pt>
                <c:pt idx="9">
                  <c:v>-7.2755697176977649E-3</c:v>
                </c:pt>
                <c:pt idx="10">
                  <c:v>-7.4515794372892498E-3</c:v>
                </c:pt>
                <c:pt idx="11">
                  <c:v>-8.104811386288574E-3</c:v>
                </c:pt>
                <c:pt idx="12">
                  <c:v>-8.1102549858635686E-3</c:v>
                </c:pt>
                <c:pt idx="13">
                  <c:v>-8.5947353480380663E-3</c:v>
                </c:pt>
                <c:pt idx="14">
                  <c:v>-8.7426198031587479E-3</c:v>
                </c:pt>
                <c:pt idx="15">
                  <c:v>-9.4793202789746518E-3</c:v>
                </c:pt>
                <c:pt idx="16">
                  <c:v>-1.5080784241643858E-2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E0-4A89-B117-5D0CD7F39B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0">
                  <c:v>-1.0458000000653556E-2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E0-4A89-B117-5D0CD7F3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3400"/>
        <c:axId val="1"/>
      </c:scatterChart>
      <c:valAx>
        <c:axId val="88289340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385711582290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15249170012687"/>
          <c:y val="0.91849661425550644"/>
          <c:w val="0.7798020197806401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6000052083502875"/>
          <c:w val="0.80463641206767067"/>
          <c:h val="0.596668608947294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6-4799-82CC-0EB087FB2C6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2.7409684116719291E-4</c:v>
                </c:pt>
                <c:pt idx="2">
                  <c:v>-2.7359575324226171E-4</c:v>
                </c:pt>
                <c:pt idx="3">
                  <c:v>-0.23444249638123438</c:v>
                </c:pt>
                <c:pt idx="4">
                  <c:v>-0.19462755817221478</c:v>
                </c:pt>
                <c:pt idx="5">
                  <c:v>-0.17148068376263836</c:v>
                </c:pt>
                <c:pt idx="6">
                  <c:v>8.2568828918738291E-2</c:v>
                </c:pt>
                <c:pt idx="7">
                  <c:v>-0.17386199485190446</c:v>
                </c:pt>
                <c:pt idx="8">
                  <c:v>2.1558192609518301E-2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16-4799-82CC-0EB087FB2C6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16-4799-82CC-0EB087FB2C6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16-4799-82CC-0EB087FB2C6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16-4799-82CC-0EB087FB2C6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16-4799-82CC-0EB087FB2C6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16-4799-82CC-0EB087FB2C6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-0.24857562855409721</c:v>
                </c:pt>
                <c:pt idx="1">
                  <c:v>-9.0049371356716257E-2</c:v>
                </c:pt>
                <c:pt idx="2">
                  <c:v>-8.995265187244933E-2</c:v>
                </c:pt>
                <c:pt idx="3">
                  <c:v>-8.7797620863626802E-2</c:v>
                </c:pt>
                <c:pt idx="4">
                  <c:v>-8.3176243005997574E-2</c:v>
                </c:pt>
                <c:pt idx="5">
                  <c:v>-8.2979781553580378E-2</c:v>
                </c:pt>
                <c:pt idx="6">
                  <c:v>-8.0773368318741046E-2</c:v>
                </c:pt>
                <c:pt idx="7">
                  <c:v>-7.8594157438851786E-2</c:v>
                </c:pt>
                <c:pt idx="8">
                  <c:v>-7.6962016141847334E-2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16-4799-82CC-0EB087FB2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832"/>
        <c:axId val="1"/>
      </c:scatterChart>
      <c:valAx>
        <c:axId val="882907832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2666946631671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666771653543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05315395178252"/>
          <c:y val="0.91333613298337712"/>
          <c:w val="0.9337755297144148"/>
          <c:h val="0.980003149606299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1-4E77-8643-32567F56A20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2.7409684116719291E-4</c:v>
                </c:pt>
                <c:pt idx="2">
                  <c:v>-2.7359575324226171E-4</c:v>
                </c:pt>
                <c:pt idx="3">
                  <c:v>-0.23444249638123438</c:v>
                </c:pt>
                <c:pt idx="4">
                  <c:v>-0.19462755817221478</c:v>
                </c:pt>
                <c:pt idx="5">
                  <c:v>-0.17148068376263836</c:v>
                </c:pt>
                <c:pt idx="6">
                  <c:v>8.2568828918738291E-2</c:v>
                </c:pt>
                <c:pt idx="7">
                  <c:v>-0.17386199485190446</c:v>
                </c:pt>
                <c:pt idx="8">
                  <c:v>2.1558192609518301E-2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61-4E77-8643-32567F56A20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61-4E77-8643-32567F56A20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61-4E77-8643-32567F56A20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61-4E77-8643-32567F56A20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61-4E77-8643-32567F56A20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61-4E77-8643-32567F56A20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-0.24857562855409721</c:v>
                </c:pt>
                <c:pt idx="1">
                  <c:v>-9.0049371356716257E-2</c:v>
                </c:pt>
                <c:pt idx="2">
                  <c:v>-8.995265187244933E-2</c:v>
                </c:pt>
                <c:pt idx="3">
                  <c:v>-8.7797620863626802E-2</c:v>
                </c:pt>
                <c:pt idx="4">
                  <c:v>-8.3176243005997574E-2</c:v>
                </c:pt>
                <c:pt idx="5">
                  <c:v>-8.2979781553580378E-2</c:v>
                </c:pt>
                <c:pt idx="6">
                  <c:v>-8.0773368318741046E-2</c:v>
                </c:pt>
                <c:pt idx="7">
                  <c:v>-7.8594157438851786E-2</c:v>
                </c:pt>
                <c:pt idx="8">
                  <c:v>-7.6962016141847334E-2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61-4E77-8643-32567F56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4224"/>
        <c:axId val="1"/>
      </c:scatterChart>
      <c:valAx>
        <c:axId val="88290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161290322580644"/>
          <c:y val="0.92073298764483702"/>
          <c:w val="0.9241935483870966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64254873317592"/>
          <c:y val="0.15094385976765112"/>
          <c:w val="0.75165623678749482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8-417A-BEFA-FDE88E1C854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1">
                  <c:v>6.9081107503734529E-2</c:v>
                </c:pt>
                <c:pt idx="2">
                  <c:v>4.2261958165909164E-2</c:v>
                </c:pt>
                <c:pt idx="3">
                  <c:v>-4.7578749145031907E-3</c:v>
                </c:pt>
                <c:pt idx="4">
                  <c:v>4.9714120759745128E-3</c:v>
                </c:pt>
                <c:pt idx="5">
                  <c:v>-2.1353716147132218E-4</c:v>
                </c:pt>
                <c:pt idx="6">
                  <c:v>-4.1375037835678086E-3</c:v>
                </c:pt>
                <c:pt idx="7">
                  <c:v>4.0911747084464878E-2</c:v>
                </c:pt>
                <c:pt idx="8">
                  <c:v>8.4933736274251714E-2</c:v>
                </c:pt>
                <c:pt idx="9">
                  <c:v>-4.4512291409773752E-2</c:v>
                </c:pt>
                <c:pt idx="10">
                  <c:v>8.3690260973526165E-2</c:v>
                </c:pt>
                <c:pt idx="11">
                  <c:v>5.8812633484194521E-2</c:v>
                </c:pt>
                <c:pt idx="12">
                  <c:v>-6.2079733332211617E-2</c:v>
                </c:pt>
                <c:pt idx="13">
                  <c:v>4.8556947280303575E-2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F8-417A-BEFA-FDE88E1C854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F8-417A-BEFA-FDE88E1C854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F8-417A-BEFA-FDE88E1C854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F8-417A-BEFA-FDE88E1C854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F8-417A-BEFA-FDE88E1C854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F8-417A-BEFA-FDE88E1C854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0.19336827380631672</c:v>
                </c:pt>
                <c:pt idx="1">
                  <c:v>4.198858054997074E-2</c:v>
                </c:pt>
                <c:pt idx="2">
                  <c:v>4.0039728226812357E-2</c:v>
                </c:pt>
                <c:pt idx="3">
                  <c:v>2.8663577387119714E-2</c:v>
                </c:pt>
                <c:pt idx="4">
                  <c:v>2.8563153434879668E-2</c:v>
                </c:pt>
                <c:pt idx="5">
                  <c:v>2.6325582249031157E-2</c:v>
                </c:pt>
                <c:pt idx="6">
                  <c:v>2.405035208109263E-2</c:v>
                </c:pt>
                <c:pt idx="7">
                  <c:v>2.1524062032553984E-2</c:v>
                </c:pt>
                <c:pt idx="8">
                  <c:v>2.1320075879566393E-2</c:v>
                </c:pt>
                <c:pt idx="9">
                  <c:v>1.9634836431038132E-2</c:v>
                </c:pt>
                <c:pt idx="10">
                  <c:v>1.9026016220582857E-2</c:v>
                </c:pt>
                <c:pt idx="11">
                  <c:v>1.6763339046674333E-2</c:v>
                </c:pt>
                <c:pt idx="12">
                  <c:v>1.5065546604116065E-2</c:v>
                </c:pt>
                <c:pt idx="13">
                  <c:v>1.4554012097393335E-2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F8-417A-BEFA-FDE88E1C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6680"/>
        <c:axId val="1"/>
      </c:scatterChart>
      <c:valAx>
        <c:axId val="882896680"/>
        <c:scaling>
          <c:orientation val="minMax"/>
          <c:max val="800"/>
          <c:min val="-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94754132554625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51010759416662"/>
          <c:y val="0.9182419650373892"/>
          <c:w val="0.7417223757626323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A-457F-8170-F15B3DF18D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1">
                  <c:v>6.9081107503734529E-2</c:v>
                </c:pt>
                <c:pt idx="2">
                  <c:v>4.2261958165909164E-2</c:v>
                </c:pt>
                <c:pt idx="3">
                  <c:v>-4.7578749145031907E-3</c:v>
                </c:pt>
                <c:pt idx="4">
                  <c:v>4.9714120759745128E-3</c:v>
                </c:pt>
                <c:pt idx="5">
                  <c:v>-2.1353716147132218E-4</c:v>
                </c:pt>
                <c:pt idx="6">
                  <c:v>-4.1375037835678086E-3</c:v>
                </c:pt>
                <c:pt idx="7">
                  <c:v>4.0911747084464878E-2</c:v>
                </c:pt>
                <c:pt idx="8">
                  <c:v>8.4933736274251714E-2</c:v>
                </c:pt>
                <c:pt idx="9">
                  <c:v>-4.4512291409773752E-2</c:v>
                </c:pt>
                <c:pt idx="10">
                  <c:v>8.3690260973526165E-2</c:v>
                </c:pt>
                <c:pt idx="11">
                  <c:v>5.8812633484194521E-2</c:v>
                </c:pt>
                <c:pt idx="12">
                  <c:v>-6.2079733332211617E-2</c:v>
                </c:pt>
                <c:pt idx="13">
                  <c:v>4.8556947280303575E-2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A-457F-8170-F15B3DF18DA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A-457F-8170-F15B3DF18DA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A-457F-8170-F15B3DF18DA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A-457F-8170-F15B3DF18D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A-457F-8170-F15B3DF18D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A-457F-8170-F15B3DF18D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0.19336827380631672</c:v>
                </c:pt>
                <c:pt idx="1">
                  <c:v>4.198858054997074E-2</c:v>
                </c:pt>
                <c:pt idx="2">
                  <c:v>4.0039728226812357E-2</c:v>
                </c:pt>
                <c:pt idx="3">
                  <c:v>2.8663577387119714E-2</c:v>
                </c:pt>
                <c:pt idx="4">
                  <c:v>2.8563153434879668E-2</c:v>
                </c:pt>
                <c:pt idx="5">
                  <c:v>2.6325582249031157E-2</c:v>
                </c:pt>
                <c:pt idx="6">
                  <c:v>2.405035208109263E-2</c:v>
                </c:pt>
                <c:pt idx="7">
                  <c:v>2.1524062032553984E-2</c:v>
                </c:pt>
                <c:pt idx="8">
                  <c:v>2.1320075879566393E-2</c:v>
                </c:pt>
                <c:pt idx="9">
                  <c:v>1.9634836431038132E-2</c:v>
                </c:pt>
                <c:pt idx="10">
                  <c:v>1.9026016220582857E-2</c:v>
                </c:pt>
                <c:pt idx="11">
                  <c:v>1.6763339046674333E-2</c:v>
                </c:pt>
                <c:pt idx="12">
                  <c:v>1.5065546604116065E-2</c:v>
                </c:pt>
                <c:pt idx="13">
                  <c:v>1.4554012097393335E-2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A-457F-8170-F15B3DF1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4056"/>
        <c:axId val="1"/>
      </c:scatterChart>
      <c:valAx>
        <c:axId val="88289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073298764483702"/>
          <c:w val="0.722580645161290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094385976765112"/>
          <c:w val="0.80960330350018717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-2.9382999997324077E-2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F-4AEC-BA56-55E1B651B119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0</c:v>
                </c:pt>
                <c:pt idx="2">
                  <c:v>-5.1000000530621037E-4</c:v>
                </c:pt>
                <c:pt idx="3">
                  <c:v>-5.1460000031511299E-3</c:v>
                </c:pt>
                <c:pt idx="4">
                  <c:v>3.7995000020600855E-3</c:v>
                </c:pt>
                <c:pt idx="5">
                  <c:v>-5.6475000019418076E-3</c:v>
                </c:pt>
                <c:pt idx="6">
                  <c:v>-7.7442500005417969E-2</c:v>
                </c:pt>
                <c:pt idx="7">
                  <c:v>-0.10433100000227569</c:v>
                </c:pt>
                <c:pt idx="8">
                  <c:v>-3.8956500000494998E-2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F-4AEC-BA56-55E1B651B119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F-4AEC-BA56-55E1B651B119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F-4AEC-BA56-55E1B651B119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F-4AEC-BA56-55E1B651B11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F-4AEC-BA56-55E1B651B11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F-4AEC-BA56-55E1B651B11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0">
                  <c:v>1.1679103746518453</c:v>
                </c:pt>
                <c:pt idx="1">
                  <c:v>1.7580726971716601E-2</c:v>
                </c:pt>
                <c:pt idx="2">
                  <c:v>1.6878892772078526E-2</c:v>
                </c:pt>
                <c:pt idx="3">
                  <c:v>1.251384593470687E-3</c:v>
                </c:pt>
                <c:pt idx="4">
                  <c:v>-3.2284592912568744E-2</c:v>
                </c:pt>
                <c:pt idx="5">
                  <c:v>-3.3711655785166161E-2</c:v>
                </c:pt>
                <c:pt idx="6">
                  <c:v>-4.9736870010235579E-2</c:v>
                </c:pt>
                <c:pt idx="7">
                  <c:v>-6.5539836738752938E-2</c:v>
                </c:pt>
                <c:pt idx="8">
                  <c:v>-7.7389137475975797E-2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F-4AEC-BA56-55E1B65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504"/>
        <c:axId val="1"/>
      </c:scatterChart>
      <c:valAx>
        <c:axId val="882907504"/>
        <c:scaling>
          <c:orientation val="minMax"/>
          <c:max val="4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53644122299282"/>
          <c:y val="0.9182419650373892"/>
          <c:w val="0.93708678799256051"/>
          <c:h val="0.98113537694580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-2.9382999997324077E-2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A-4A6C-8F7A-C2905DF03F6C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0</c:v>
                </c:pt>
                <c:pt idx="2">
                  <c:v>-5.1000000530621037E-4</c:v>
                </c:pt>
                <c:pt idx="3">
                  <c:v>-5.1460000031511299E-3</c:v>
                </c:pt>
                <c:pt idx="4">
                  <c:v>3.7995000020600855E-3</c:v>
                </c:pt>
                <c:pt idx="5">
                  <c:v>-5.6475000019418076E-3</c:v>
                </c:pt>
                <c:pt idx="6">
                  <c:v>-7.7442500005417969E-2</c:v>
                </c:pt>
                <c:pt idx="7">
                  <c:v>-0.10433100000227569</c:v>
                </c:pt>
                <c:pt idx="8">
                  <c:v>-3.8956500000494998E-2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A-4A6C-8F7A-C2905DF03F6C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A-4A6C-8F7A-C2905DF03F6C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1A-4A6C-8F7A-C2905DF03F6C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1A-4A6C-8F7A-C2905DF03F6C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1A-4A6C-8F7A-C2905DF03F6C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1A-4A6C-8F7A-C2905DF03F6C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0">
                  <c:v>1.1679103746518453</c:v>
                </c:pt>
                <c:pt idx="1">
                  <c:v>1.7580726971716601E-2</c:v>
                </c:pt>
                <c:pt idx="2">
                  <c:v>1.6878892772078526E-2</c:v>
                </c:pt>
                <c:pt idx="3">
                  <c:v>1.251384593470687E-3</c:v>
                </c:pt>
                <c:pt idx="4">
                  <c:v>-3.2284592912568744E-2</c:v>
                </c:pt>
                <c:pt idx="5">
                  <c:v>-3.3711655785166161E-2</c:v>
                </c:pt>
                <c:pt idx="6">
                  <c:v>-4.9736870010235579E-2</c:v>
                </c:pt>
                <c:pt idx="7">
                  <c:v>-6.5539836738752938E-2</c:v>
                </c:pt>
                <c:pt idx="8">
                  <c:v>-7.7389137475975797E-2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1A-4A6C-8F7A-C2905DF0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240"/>
        <c:axId val="1"/>
      </c:scatterChart>
      <c:valAx>
        <c:axId val="882903240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516129032258064"/>
          <c:y val="0.92073298764483702"/>
          <c:w val="0.91774193548387095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9525</xdr:colOff>
      <xdr:row>17</xdr:row>
      <xdr:rowOff>133350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FF344AE0-6297-23AA-8C42-DFD709053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15</xdr:col>
      <xdr:colOff>114300</xdr:colOff>
      <xdr:row>16</xdr:row>
      <xdr:rowOff>152400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AFAB835A-A0F0-4AFB-4092-BCB77E18C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209550</xdr:colOff>
      <xdr:row>0</xdr:row>
      <xdr:rowOff>0</xdr:rowOff>
    </xdr:from>
    <xdr:to>
      <xdr:col>27</xdr:col>
      <xdr:colOff>628650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CF4BF8CD-716C-2567-19D0-74A54DBD9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15</xdr:col>
      <xdr:colOff>104775</xdr:colOff>
      <xdr:row>17</xdr:row>
      <xdr:rowOff>171450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3B1F69AC-0B27-7805-410F-63C11CA3C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1</xdr:row>
      <xdr:rowOff>9525</xdr:rowOff>
    </xdr:from>
    <xdr:to>
      <xdr:col>26</xdr:col>
      <xdr:colOff>628650</xdr:colOff>
      <xdr:row>19</xdr:row>
      <xdr:rowOff>142875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D46577AE-18DD-EA99-CE61-CDAD9BA92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15</xdr:col>
      <xdr:colOff>104775</xdr:colOff>
      <xdr:row>17</xdr:row>
      <xdr:rowOff>171450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D2FE3F22-8BB0-DFC2-E35C-A401D1CF1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0</xdr:rowOff>
    </xdr:from>
    <xdr:to>
      <xdr:col>26</xdr:col>
      <xdr:colOff>476250</xdr:colOff>
      <xdr:row>18</xdr:row>
      <xdr:rowOff>47625</xdr:rowOff>
    </xdr:to>
    <xdr:graphicFrame macro="">
      <xdr:nvGraphicFramePr>
        <xdr:cNvPr id="56324" name="Chart 2">
          <a:extLst>
            <a:ext uri="{FF2B5EF4-FFF2-40B4-BE49-F238E27FC236}">
              <a16:creationId xmlns:a16="http://schemas.microsoft.com/office/drawing/2014/main" id="{143A57AE-BB62-F64E-1DA6-5643E4B47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konkoly.hu/cgi-bin/IBVS?5871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93" TargetMode="External"/><Relationship Id="rId9" Type="http://schemas.openxmlformats.org/officeDocument/2006/relationships/hyperlink" Target="http://www.konkoly.hu/cgi-bin/IBVS?596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U6936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37</v>
      </c>
      <c r="C1" s="19" t="s">
        <v>39</v>
      </c>
    </row>
    <row r="2" spans="1:6" x14ac:dyDescent="0.2">
      <c r="A2" t="s">
        <v>25</v>
      </c>
      <c r="B2" s="18" t="s">
        <v>38</v>
      </c>
      <c r="C2" s="13"/>
    </row>
    <row r="3" spans="1:6" ht="13.5" thickBot="1" x14ac:dyDescent="0.25">
      <c r="C3" s="14"/>
    </row>
    <row r="4" spans="1:6" ht="14.25" thickTop="1" thickBot="1" x14ac:dyDescent="0.25">
      <c r="A4" s="4" t="s">
        <v>0</v>
      </c>
      <c r="C4" s="51">
        <v>27951.526000000002</v>
      </c>
      <c r="D4" s="52">
        <v>0.98082069999999999</v>
      </c>
    </row>
    <row r="5" spans="1:6" ht="13.5" thickTop="1" x14ac:dyDescent="0.2">
      <c r="A5" s="20" t="s">
        <v>40</v>
      </c>
      <c r="B5" s="18"/>
      <c r="C5" s="21">
        <v>-9.5</v>
      </c>
      <c r="D5" s="18" t="s">
        <v>41</v>
      </c>
    </row>
    <row r="6" spans="1:6" x14ac:dyDescent="0.2">
      <c r="A6" s="4" t="s">
        <v>1</v>
      </c>
    </row>
    <row r="7" spans="1:6" x14ac:dyDescent="0.2">
      <c r="A7" t="s">
        <v>2</v>
      </c>
      <c r="C7">
        <v>53654.564700000003</v>
      </c>
      <c r="D7" s="39" t="s">
        <v>50</v>
      </c>
    </row>
    <row r="8" spans="1:6" x14ac:dyDescent="0.2">
      <c r="A8" t="s">
        <v>3</v>
      </c>
      <c r="C8">
        <v>0.98080699999999998</v>
      </c>
      <c r="D8" s="40" t="s">
        <v>58</v>
      </c>
    </row>
    <row r="9" spans="1:6" x14ac:dyDescent="0.2">
      <c r="A9" s="35" t="s">
        <v>48</v>
      </c>
      <c r="B9" s="36">
        <v>21</v>
      </c>
      <c r="C9" s="34" t="str">
        <f>"F"&amp;B9</f>
        <v>F21</v>
      </c>
      <c r="D9" s="14" t="str">
        <f>"G"&amp;B9</f>
        <v>G21</v>
      </c>
    </row>
    <row r="10" spans="1:6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6" x14ac:dyDescent="0.2">
      <c r="A11" s="18" t="s">
        <v>16</v>
      </c>
      <c r="B11" s="18"/>
      <c r="C11" s="33">
        <f ca="1">INTERCEPT(INDIRECT($D$9):G988,INDIRECT($C$9):F988)</f>
        <v>-4.6689927878712945E-3</v>
      </c>
      <c r="D11" s="22"/>
      <c r="E11" s="18"/>
    </row>
    <row r="12" spans="1:6" x14ac:dyDescent="0.2">
      <c r="A12" s="18" t="s">
        <v>17</v>
      </c>
      <c r="B12" s="18"/>
      <c r="C12" s="33">
        <f ca="1">SLOPE(INDIRECT($D$9):G988,INDIRECT($C$9):F988)</f>
        <v>-1.8145331916647897E-6</v>
      </c>
      <c r="D12" s="22"/>
      <c r="E12" s="18"/>
    </row>
    <row r="13" spans="1:6" x14ac:dyDescent="0.2">
      <c r="A13" s="18" t="s">
        <v>20</v>
      </c>
      <c r="B13" s="18"/>
      <c r="C13" s="22" t="s">
        <v>14</v>
      </c>
    </row>
    <row r="14" spans="1:6" x14ac:dyDescent="0.2">
      <c r="A14" s="18"/>
      <c r="B14" s="18"/>
      <c r="C14" s="18"/>
    </row>
    <row r="15" spans="1:6" x14ac:dyDescent="0.2">
      <c r="A15" s="23" t="s">
        <v>18</v>
      </c>
      <c r="B15" s="18"/>
      <c r="C15" s="24">
        <f ca="1">(C7+C11)+(C8+C12)*INT(MAX(F21:F3529))</f>
        <v>59282.420185215757</v>
      </c>
      <c r="E15" s="25" t="s">
        <v>54</v>
      </c>
      <c r="F15" s="21">
        <v>1</v>
      </c>
    </row>
    <row r="16" spans="1:6" x14ac:dyDescent="0.2">
      <c r="A16" s="27" t="s">
        <v>4</v>
      </c>
      <c r="B16" s="18"/>
      <c r="C16" s="28">
        <f ca="1">+C8+C12</f>
        <v>0.98080518546680828</v>
      </c>
      <c r="E16" s="25" t="s">
        <v>42</v>
      </c>
      <c r="F16" s="26">
        <f ca="1">NOW()+15018.5+$C$5/24</f>
        <v>60328.760377777777</v>
      </c>
    </row>
    <row r="17" spans="1:21" ht="13.5" thickBot="1" x14ac:dyDescent="0.25">
      <c r="A17" s="25" t="s">
        <v>31</v>
      </c>
      <c r="B17" s="18"/>
      <c r="C17" s="18">
        <f>COUNT(C21:C2187)</f>
        <v>17</v>
      </c>
      <c r="E17" s="25" t="s">
        <v>55</v>
      </c>
      <c r="F17" s="26">
        <f ca="1">ROUND(2*(F16-$C$7)/$C$8,0)/2+F15</f>
        <v>6806</v>
      </c>
    </row>
    <row r="18" spans="1:21" ht="14.25" thickTop="1" thickBot="1" x14ac:dyDescent="0.25">
      <c r="A18" s="27" t="s">
        <v>5</v>
      </c>
      <c r="B18" s="18"/>
      <c r="C18" s="30">
        <f ca="1">+C15</f>
        <v>59282.420185215757</v>
      </c>
      <c r="D18" s="31">
        <f ca="1">+C16</f>
        <v>0.98080518546680828</v>
      </c>
      <c r="E18" s="25" t="s">
        <v>43</v>
      </c>
      <c r="F18" s="14">
        <f ca="1">ROUND(2*(F16-$C$15)/$C$16,0)/2+F15</f>
        <v>1068</v>
      </c>
      <c r="S18">
        <f ca="1">SQRT(SUM(S22:S26)/(COUNT(S22:S26)-1))</f>
        <v>1.9842465440804709E-2</v>
      </c>
    </row>
    <row r="19" spans="1:21" ht="13.5" thickTop="1" x14ac:dyDescent="0.2">
      <c r="E19" s="25" t="s">
        <v>44</v>
      </c>
      <c r="F19" s="29">
        <f ca="1">+$C$15+$C$16*F18-15018.5-$C$5/24</f>
        <v>45311.815956627644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68</v>
      </c>
      <c r="I20" s="6" t="s">
        <v>71</v>
      </c>
      <c r="J20" s="6" t="s">
        <v>65</v>
      </c>
      <c r="K20" s="6" t="s">
        <v>63</v>
      </c>
      <c r="L20" s="6" t="s">
        <v>27</v>
      </c>
      <c r="M20" s="6" t="s">
        <v>28</v>
      </c>
      <c r="N20" s="6" t="s">
        <v>149</v>
      </c>
      <c r="O20" s="6" t="s">
        <v>24</v>
      </c>
      <c r="P20" s="5" t="s">
        <v>23</v>
      </c>
      <c r="Q20" s="3" t="s">
        <v>15</v>
      </c>
      <c r="R20" s="22"/>
      <c r="U20" s="72" t="s">
        <v>150</v>
      </c>
    </row>
    <row r="21" spans="1:21" x14ac:dyDescent="0.2">
      <c r="A21" t="s">
        <v>12</v>
      </c>
      <c r="B21" s="22"/>
      <c r="C21" s="9">
        <v>27951.526000000002</v>
      </c>
      <c r="D21" s="9" t="s">
        <v>14</v>
      </c>
      <c r="E21">
        <f t="shared" ref="E21:E36" si="0">+(C21-C$7)/C$8</f>
        <v>-26206.010662648208</v>
      </c>
      <c r="F21">
        <f t="shared" ref="F21:F36" si="1">ROUND(2*E21,0)/2</f>
        <v>-26206</v>
      </c>
      <c r="H21" s="14"/>
      <c r="O21">
        <f t="shared" ref="O21:O36" ca="1" si="2">+C$11+C$12*$F21</f>
        <v>4.2882664032896187E-2</v>
      </c>
      <c r="Q21" s="2">
        <f t="shared" ref="Q21:Q36" si="3">+C21-15018.5</f>
        <v>12933.026000000002</v>
      </c>
      <c r="R21" s="2"/>
      <c r="U21">
        <f>+C21-(C$7+F21*C$8)</f>
        <v>-1.0458000000653556E-2</v>
      </c>
    </row>
    <row r="22" spans="1:21" x14ac:dyDescent="0.2">
      <c r="A22" s="70" t="s">
        <v>78</v>
      </c>
      <c r="B22" s="71" t="s">
        <v>34</v>
      </c>
      <c r="C22" s="70">
        <v>51575.216999999997</v>
      </c>
      <c r="D22" s="70" t="s">
        <v>71</v>
      </c>
      <c r="E22">
        <f t="shared" si="0"/>
        <v>-2120.0375812978555</v>
      </c>
      <c r="F22">
        <f t="shared" si="1"/>
        <v>-2120</v>
      </c>
      <c r="G22">
        <f t="shared" ref="G22:G36" si="4">+C22-(C$7+F22*C$8)</f>
        <v>-3.6860000007436611E-2</v>
      </c>
      <c r="K22">
        <f>+G22</f>
        <v>-3.6860000007436611E-2</v>
      </c>
      <c r="O22">
        <f t="shared" ca="1" si="2"/>
        <v>-8.221824215419401E-4</v>
      </c>
      <c r="Q22" s="2">
        <f t="shared" si="3"/>
        <v>36556.716999999997</v>
      </c>
      <c r="R22" s="2"/>
      <c r="S22">
        <f t="shared" ref="S22:S36" ca="1" si="5">+(O22-G22)^2</f>
        <v>1.2987242963542194E-3</v>
      </c>
    </row>
    <row r="23" spans="1:21" x14ac:dyDescent="0.2">
      <c r="A23" s="70" t="s">
        <v>82</v>
      </c>
      <c r="B23" s="71" t="s">
        <v>34</v>
      </c>
      <c r="C23" s="70">
        <v>51879.316599999998</v>
      </c>
      <c r="D23" s="70" t="s">
        <v>71</v>
      </c>
      <c r="E23">
        <f t="shared" si="0"/>
        <v>-1809.9871840229571</v>
      </c>
      <c r="F23">
        <f t="shared" si="1"/>
        <v>-1810</v>
      </c>
      <c r="G23">
        <f t="shared" si="4"/>
        <v>1.2569999998959247E-2</v>
      </c>
      <c r="K23">
        <f>+G23</f>
        <v>1.2569999998959247E-2</v>
      </c>
      <c r="O23">
        <f t="shared" ca="1" si="2"/>
        <v>-1.384687710958025E-3</v>
      </c>
      <c r="Q23" s="2">
        <f t="shared" si="3"/>
        <v>36860.816599999998</v>
      </c>
      <c r="R23" s="2"/>
      <c r="S23">
        <f t="shared" ca="1" si="5"/>
        <v>1.9473330908131614E-4</v>
      </c>
    </row>
    <row r="24" spans="1:21" x14ac:dyDescent="0.2">
      <c r="A24" s="10" t="s">
        <v>32</v>
      </c>
      <c r="B24" s="11"/>
      <c r="C24" s="12">
        <v>53654.564700000003</v>
      </c>
      <c r="D24" s="12">
        <v>1.8E-3</v>
      </c>
      <c r="E24">
        <f t="shared" si="0"/>
        <v>0</v>
      </c>
      <c r="F24">
        <f t="shared" si="1"/>
        <v>0</v>
      </c>
      <c r="G24">
        <f t="shared" si="4"/>
        <v>0</v>
      </c>
      <c r="J24">
        <f>+G24</f>
        <v>0</v>
      </c>
      <c r="O24">
        <f t="shared" ca="1" si="2"/>
        <v>-4.6689927878712945E-3</v>
      </c>
      <c r="Q24" s="2">
        <f t="shared" si="3"/>
        <v>38636.064700000003</v>
      </c>
      <c r="R24" s="2" t="s">
        <v>65</v>
      </c>
      <c r="S24">
        <f t="shared" ca="1" si="5"/>
        <v>2.1799493653194165E-5</v>
      </c>
    </row>
    <row r="25" spans="1:21" x14ac:dyDescent="0.2">
      <c r="A25" s="15" t="s">
        <v>33</v>
      </c>
      <c r="B25" s="16" t="s">
        <v>34</v>
      </c>
      <c r="C25" s="17">
        <v>53670.245999999999</v>
      </c>
      <c r="D25" s="17">
        <v>8.0000000000000002E-3</v>
      </c>
      <c r="E25">
        <f t="shared" si="0"/>
        <v>15.988160769648417</v>
      </c>
      <c r="F25">
        <f t="shared" si="1"/>
        <v>16</v>
      </c>
      <c r="G25">
        <f t="shared" si="4"/>
        <v>-1.1612000002060086E-2</v>
      </c>
      <c r="J25">
        <f>+G25</f>
        <v>-1.1612000002060086E-2</v>
      </c>
      <c r="O25">
        <f t="shared" ca="1" si="2"/>
        <v>-4.6980253189379314E-3</v>
      </c>
      <c r="Q25" s="2">
        <f t="shared" si="3"/>
        <v>38651.745999999999</v>
      </c>
      <c r="R25" s="2" t="s">
        <v>65</v>
      </c>
      <c r="S25">
        <f t="shared" ca="1" si="5"/>
        <v>4.780304591885409E-5</v>
      </c>
    </row>
    <row r="26" spans="1:21" x14ac:dyDescent="0.2">
      <c r="A26" s="10" t="s">
        <v>46</v>
      </c>
      <c r="B26" s="11" t="s">
        <v>47</v>
      </c>
      <c r="C26" s="12">
        <v>54019.423000000003</v>
      </c>
      <c r="D26" s="12">
        <v>2.0000000000000001E-4</v>
      </c>
      <c r="E26">
        <f t="shared" si="0"/>
        <v>371.99805874142402</v>
      </c>
      <c r="F26">
        <f t="shared" si="1"/>
        <v>372</v>
      </c>
      <c r="G26">
        <f t="shared" si="4"/>
        <v>-1.9039999970118515E-3</v>
      </c>
      <c r="J26">
        <f>+G26</f>
        <v>-1.9039999970118515E-3</v>
      </c>
      <c r="O26">
        <f t="shared" ca="1" si="2"/>
        <v>-5.3439991351705964E-3</v>
      </c>
      <c r="Q26" s="2">
        <f t="shared" si="3"/>
        <v>39000.923000000003</v>
      </c>
      <c r="R26" s="2" t="s">
        <v>65</v>
      </c>
      <c r="S26">
        <f t="shared" ca="1" si="5"/>
        <v>1.1833594070532908E-5</v>
      </c>
    </row>
    <row r="27" spans="1:21" x14ac:dyDescent="0.2">
      <c r="A27" s="70" t="s">
        <v>104</v>
      </c>
      <c r="B27" s="71" t="s">
        <v>34</v>
      </c>
      <c r="C27" s="70">
        <v>54374.4781</v>
      </c>
      <c r="D27" s="70" t="s">
        <v>71</v>
      </c>
      <c r="E27">
        <f t="shared" si="0"/>
        <v>734.00108278182927</v>
      </c>
      <c r="F27">
        <f t="shared" si="1"/>
        <v>734</v>
      </c>
      <c r="G27">
        <f t="shared" si="4"/>
        <v>1.061999995727092E-3</v>
      </c>
      <c r="K27">
        <f t="shared" ref="K27:K32" si="6">+G27</f>
        <v>1.061999995727092E-3</v>
      </c>
      <c r="O27">
        <f t="shared" ca="1" si="2"/>
        <v>-6.0008601505532506E-3</v>
      </c>
      <c r="Q27" s="2">
        <f t="shared" si="3"/>
        <v>39355.9781</v>
      </c>
      <c r="R27" s="2"/>
      <c r="S27">
        <f t="shared" ca="1" si="5"/>
        <v>4.9883993445915182E-5</v>
      </c>
    </row>
    <row r="28" spans="1:21" x14ac:dyDescent="0.2">
      <c r="A28" s="12" t="s">
        <v>49</v>
      </c>
      <c r="B28" s="41" t="s">
        <v>34</v>
      </c>
      <c r="C28" s="12">
        <v>54768.761100000003</v>
      </c>
      <c r="D28" s="12">
        <v>5.9999999999999995E-4</v>
      </c>
      <c r="E28">
        <f t="shared" si="0"/>
        <v>1135.9996411118607</v>
      </c>
      <c r="F28">
        <f t="shared" si="1"/>
        <v>1136</v>
      </c>
      <c r="G28">
        <f t="shared" si="4"/>
        <v>-3.5200000274926424E-4</v>
      </c>
      <c r="K28">
        <f t="shared" si="6"/>
        <v>-3.5200000274926424E-4</v>
      </c>
      <c r="O28">
        <f t="shared" ca="1" si="2"/>
        <v>-6.7303024936024962E-3</v>
      </c>
      <c r="Q28" s="2">
        <f t="shared" si="3"/>
        <v>39750.261100000003</v>
      </c>
      <c r="R28" s="2" t="s">
        <v>63</v>
      </c>
      <c r="S28">
        <f t="shared" ca="1" si="5"/>
        <v>4.0682742664824543E-5</v>
      </c>
    </row>
    <row r="29" spans="1:21" x14ac:dyDescent="0.2">
      <c r="A29" s="12" t="s">
        <v>49</v>
      </c>
      <c r="B29" s="41" t="s">
        <v>47</v>
      </c>
      <c r="C29" s="12">
        <v>54800.637999999999</v>
      </c>
      <c r="D29" s="12">
        <v>2E-3</v>
      </c>
      <c r="E29">
        <f t="shared" si="0"/>
        <v>1168.5003267717261</v>
      </c>
      <c r="F29">
        <f t="shared" si="1"/>
        <v>1168.5</v>
      </c>
      <c r="G29">
        <f t="shared" si="4"/>
        <v>3.2049999572336674E-4</v>
      </c>
      <c r="K29">
        <f t="shared" si="6"/>
        <v>3.2049999572336674E-4</v>
      </c>
      <c r="O29">
        <f t="shared" ca="1" si="2"/>
        <v>-6.7892748223316018E-3</v>
      </c>
      <c r="Q29" s="2">
        <f t="shared" si="3"/>
        <v>39782.137999999999</v>
      </c>
      <c r="R29" s="2" t="s">
        <v>63</v>
      </c>
      <c r="S29">
        <f t="shared" ca="1" si="5"/>
        <v>5.0548897963448557E-5</v>
      </c>
    </row>
    <row r="30" spans="1:21" x14ac:dyDescent="0.2">
      <c r="A30" s="70" t="s">
        <v>118</v>
      </c>
      <c r="B30" s="71" t="s">
        <v>47</v>
      </c>
      <c r="C30" s="70">
        <v>55063.497100000001</v>
      </c>
      <c r="D30" s="70" t="s">
        <v>71</v>
      </c>
      <c r="E30">
        <f t="shared" si="0"/>
        <v>1436.503206033397</v>
      </c>
      <c r="F30">
        <f t="shared" si="1"/>
        <v>1436.5</v>
      </c>
      <c r="G30">
        <f t="shared" si="4"/>
        <v>3.1444999985978939E-3</v>
      </c>
      <c r="K30">
        <f t="shared" si="6"/>
        <v>3.1444999985978939E-3</v>
      </c>
      <c r="O30">
        <f t="shared" ca="1" si="2"/>
        <v>-7.2755697176977649E-3</v>
      </c>
      <c r="Q30" s="2">
        <f t="shared" si="3"/>
        <v>40044.997100000001</v>
      </c>
      <c r="R30" s="2"/>
      <c r="S30">
        <f t="shared" ca="1" si="5"/>
        <v>1.0857785289246188E-4</v>
      </c>
    </row>
    <row r="31" spans="1:21" x14ac:dyDescent="0.2">
      <c r="A31" s="42" t="s">
        <v>52</v>
      </c>
      <c r="B31" s="43" t="s">
        <v>47</v>
      </c>
      <c r="C31" s="42">
        <v>55158.6342</v>
      </c>
      <c r="D31" s="42">
        <v>5.0000000000000001E-4</v>
      </c>
      <c r="E31">
        <f t="shared" si="0"/>
        <v>1533.5020039620413</v>
      </c>
      <c r="F31">
        <f t="shared" si="1"/>
        <v>1533.5</v>
      </c>
      <c r="G31">
        <f t="shared" si="4"/>
        <v>1.9654999996419065E-3</v>
      </c>
      <c r="K31">
        <f t="shared" si="6"/>
        <v>1.9654999996419065E-3</v>
      </c>
      <c r="O31">
        <f t="shared" ca="1" si="2"/>
        <v>-7.4515794372892498E-3</v>
      </c>
      <c r="Q31" s="2">
        <f t="shared" si="3"/>
        <v>40140.1342</v>
      </c>
      <c r="R31" s="2" t="s">
        <v>63</v>
      </c>
      <c r="S31">
        <f t="shared" ca="1" si="5"/>
        <v>8.8681385121471619E-5</v>
      </c>
    </row>
    <row r="32" spans="1:21" x14ac:dyDescent="0.2">
      <c r="A32" s="15" t="s">
        <v>53</v>
      </c>
      <c r="B32" s="16" t="s">
        <v>47</v>
      </c>
      <c r="C32" s="17">
        <v>55511.7094</v>
      </c>
      <c r="D32" s="17">
        <v>2.8E-3</v>
      </c>
      <c r="E32">
        <f t="shared" si="0"/>
        <v>1893.4863841713989</v>
      </c>
      <c r="F32">
        <f t="shared" si="1"/>
        <v>1893.5</v>
      </c>
      <c r="G32">
        <f t="shared" si="4"/>
        <v>-1.3354500006244052E-2</v>
      </c>
      <c r="K32">
        <f t="shared" si="6"/>
        <v>-1.3354500006244052E-2</v>
      </c>
      <c r="O32">
        <f t="shared" ca="1" si="2"/>
        <v>-8.104811386288574E-3</v>
      </c>
      <c r="Q32" s="2">
        <f t="shared" si="3"/>
        <v>40493.2094</v>
      </c>
      <c r="R32" s="2" t="s">
        <v>151</v>
      </c>
      <c r="S32">
        <f t="shared" ca="1" si="5"/>
        <v>2.7559230606490052E-5</v>
      </c>
    </row>
    <row r="33" spans="1:19" x14ac:dyDescent="0.2">
      <c r="A33" s="55" t="s">
        <v>60</v>
      </c>
      <c r="B33" s="77"/>
      <c r="C33" s="56">
        <v>55514.653100000003</v>
      </c>
      <c r="D33" s="56">
        <v>6.6E-3</v>
      </c>
      <c r="E33">
        <f t="shared" si="0"/>
        <v>1896.4876881996158</v>
      </c>
      <c r="F33">
        <f t="shared" si="1"/>
        <v>1896.5</v>
      </c>
      <c r="G33">
        <f t="shared" si="4"/>
        <v>-1.207550000253832E-2</v>
      </c>
      <c r="J33">
        <f>+G33</f>
        <v>-1.207550000253832E-2</v>
      </c>
      <c r="O33">
        <f t="shared" ca="1" si="2"/>
        <v>-8.1102549858635686E-3</v>
      </c>
      <c r="Q33" s="2">
        <f t="shared" si="3"/>
        <v>40496.153100000003</v>
      </c>
      <c r="R33" s="2" t="s">
        <v>65</v>
      </c>
      <c r="S33">
        <f t="shared" ca="1" si="5"/>
        <v>1.5723168042263947E-5</v>
      </c>
    </row>
    <row r="34" spans="1:19" x14ac:dyDescent="0.2">
      <c r="A34" s="53" t="s">
        <v>56</v>
      </c>
      <c r="B34" s="54" t="s">
        <v>47</v>
      </c>
      <c r="C34" s="53">
        <v>55776.536</v>
      </c>
      <c r="D34" s="53">
        <v>1.6400000000000001E-2</v>
      </c>
      <c r="E34">
        <f t="shared" si="0"/>
        <v>2163.495264613729</v>
      </c>
      <c r="F34">
        <f t="shared" si="1"/>
        <v>2163.5</v>
      </c>
      <c r="G34">
        <f t="shared" si="4"/>
        <v>-4.6445000043604523E-3</v>
      </c>
      <c r="J34">
        <f>+G34</f>
        <v>-4.6445000043604523E-3</v>
      </c>
      <c r="O34">
        <f t="shared" ca="1" si="2"/>
        <v>-8.5947353480380663E-3</v>
      </c>
      <c r="Q34" s="2">
        <f t="shared" si="3"/>
        <v>40758.036</v>
      </c>
      <c r="R34" s="2" t="s">
        <v>65</v>
      </c>
      <c r="S34">
        <f t="shared" ca="1" si="5"/>
        <v>1.5604359270439799E-5</v>
      </c>
    </row>
    <row r="35" spans="1:19" x14ac:dyDescent="0.2">
      <c r="A35" s="70" t="s">
        <v>143</v>
      </c>
      <c r="B35" s="71" t="s">
        <v>34</v>
      </c>
      <c r="C35" s="70">
        <v>55856.473700000002</v>
      </c>
      <c r="D35" s="70" t="s">
        <v>71</v>
      </c>
      <c r="E35">
        <f t="shared" si="0"/>
        <v>2244.9972318713058</v>
      </c>
      <c r="F35">
        <f t="shared" si="1"/>
        <v>2245</v>
      </c>
      <c r="G35">
        <f t="shared" si="4"/>
        <v>-2.7150000023539178E-3</v>
      </c>
      <c r="I35">
        <f>+G35</f>
        <v>-2.7150000023539178E-3</v>
      </c>
      <c r="O35">
        <f t="shared" ca="1" si="2"/>
        <v>-8.7426198031587479E-3</v>
      </c>
      <c r="Q35" s="2">
        <f t="shared" si="3"/>
        <v>40837.973700000002</v>
      </c>
      <c r="R35" s="2"/>
      <c r="S35">
        <f t="shared" ca="1" si="5"/>
        <v>3.6332200463054458E-5</v>
      </c>
    </row>
    <row r="36" spans="1:19" x14ac:dyDescent="0.2">
      <c r="A36" s="44" t="s">
        <v>59</v>
      </c>
      <c r="B36" s="45" t="s">
        <v>34</v>
      </c>
      <c r="C36" s="46">
        <v>56254.671600000001</v>
      </c>
      <c r="D36" s="46">
        <v>4.0000000000000002E-4</v>
      </c>
      <c r="E36">
        <f t="shared" si="0"/>
        <v>2650.9872992342011</v>
      </c>
      <c r="F36">
        <f t="shared" si="1"/>
        <v>2651</v>
      </c>
      <c r="G36">
        <f t="shared" si="4"/>
        <v>-1.2457000004360452E-2</v>
      </c>
      <c r="K36">
        <f>+G36</f>
        <v>-1.2457000004360452E-2</v>
      </c>
      <c r="O36">
        <f t="shared" ca="1" si="2"/>
        <v>-9.4793202789746518E-3</v>
      </c>
      <c r="Q36" s="2">
        <f t="shared" si="3"/>
        <v>41236.171600000001</v>
      </c>
      <c r="R36" s="2" t="s">
        <v>63</v>
      </c>
      <c r="S36">
        <f t="shared" ca="1" si="5"/>
        <v>8.866576546973657E-6</v>
      </c>
    </row>
    <row r="37" spans="1:19" x14ac:dyDescent="0.2">
      <c r="A37" s="73" t="s">
        <v>152</v>
      </c>
      <c r="B37" s="74" t="s">
        <v>34</v>
      </c>
      <c r="C37" s="75">
        <v>59282.402900000001</v>
      </c>
      <c r="D37" s="76">
        <v>4.0000000000000002E-4</v>
      </c>
      <c r="E37">
        <f t="shared" ref="E37" si="7">+(C37-C$7)/C$8</f>
        <v>5737.9670006433462</v>
      </c>
      <c r="F37">
        <f t="shared" ref="F37" si="8">ROUND(2*E37,0)/2</f>
        <v>5738</v>
      </c>
      <c r="G37">
        <f t="shared" ref="G37" si="9">+C37-(C$7+F37*C$8)</f>
        <v>-3.2365999999456108E-2</v>
      </c>
      <c r="K37">
        <f>+G37</f>
        <v>-3.2365999999456108E-2</v>
      </c>
      <c r="O37">
        <f t="shared" ref="O37" ca="1" si="10">+C$11+C$12*$F37</f>
        <v>-1.5080784241643858E-2</v>
      </c>
      <c r="Q37" s="2">
        <f t="shared" ref="Q37" si="11">+C37-15018.5</f>
        <v>44263.902900000001</v>
      </c>
      <c r="R37" s="2" t="s">
        <v>63</v>
      </c>
      <c r="S37">
        <f t="shared" ref="S37" ca="1" si="12">+(O37-G37)^2</f>
        <v>2.9877868379412091E-4</v>
      </c>
    </row>
    <row r="38" spans="1:19" x14ac:dyDescent="0.2">
      <c r="B38" s="22"/>
      <c r="C38" s="9"/>
      <c r="D38" s="9"/>
    </row>
    <row r="39" spans="1:19" x14ac:dyDescent="0.2">
      <c r="B39" s="22"/>
      <c r="C39" s="9"/>
      <c r="D39" s="9"/>
    </row>
    <row r="40" spans="1:19" x14ac:dyDescent="0.2">
      <c r="B40" s="22"/>
      <c r="C40" s="9"/>
      <c r="D40" s="9"/>
    </row>
    <row r="41" spans="1:19" x14ac:dyDescent="0.2">
      <c r="B41" s="22"/>
      <c r="C41" s="9"/>
      <c r="D41" s="9"/>
    </row>
    <row r="42" spans="1:19" x14ac:dyDescent="0.2">
      <c r="B42" s="22"/>
      <c r="C42" s="9"/>
      <c r="D42" s="9"/>
    </row>
    <row r="43" spans="1:19" x14ac:dyDescent="0.2">
      <c r="B43" s="22"/>
      <c r="C43" s="9"/>
      <c r="D43" s="9"/>
    </row>
    <row r="44" spans="1:19" x14ac:dyDescent="0.2">
      <c r="B44" s="22"/>
      <c r="C44" s="9"/>
      <c r="D44" s="9"/>
    </row>
    <row r="45" spans="1:19" x14ac:dyDescent="0.2">
      <c r="B45" s="22"/>
      <c r="C45" s="9"/>
      <c r="D45" s="9"/>
    </row>
    <row r="46" spans="1:19" x14ac:dyDescent="0.2">
      <c r="B46" s="22"/>
      <c r="C46" s="9"/>
      <c r="D46" s="9"/>
    </row>
    <row r="47" spans="1:19" x14ac:dyDescent="0.2">
      <c r="B47" s="22"/>
      <c r="C47" s="9"/>
      <c r="D47" s="9"/>
    </row>
    <row r="48" spans="1:19" x14ac:dyDescent="0.2">
      <c r="B48" s="22"/>
      <c r="C48" s="9"/>
      <c r="D48" s="9"/>
    </row>
    <row r="49" spans="2:4" x14ac:dyDescent="0.2">
      <c r="B49" s="22"/>
      <c r="C49" s="9"/>
      <c r="D49" s="9"/>
    </row>
    <row r="50" spans="2:4" x14ac:dyDescent="0.2">
      <c r="B50" s="22"/>
      <c r="C50" s="9"/>
      <c r="D50" s="9"/>
    </row>
    <row r="51" spans="2:4" x14ac:dyDescent="0.2">
      <c r="B51" s="22"/>
      <c r="C51" s="9"/>
      <c r="D51" s="9"/>
    </row>
    <row r="52" spans="2:4" x14ac:dyDescent="0.2">
      <c r="B52" s="22"/>
      <c r="C52" s="9"/>
      <c r="D52" s="9"/>
    </row>
    <row r="53" spans="2:4" x14ac:dyDescent="0.2">
      <c r="B53" s="22"/>
      <c r="C53" s="9"/>
      <c r="D53" s="9"/>
    </row>
    <row r="54" spans="2:4" x14ac:dyDescent="0.2">
      <c r="B54" s="22"/>
      <c r="C54" s="9"/>
      <c r="D54" s="9"/>
    </row>
    <row r="55" spans="2:4" x14ac:dyDescent="0.2">
      <c r="B55" s="22"/>
      <c r="C55" s="9"/>
      <c r="D55" s="9"/>
    </row>
    <row r="56" spans="2:4" x14ac:dyDescent="0.2">
      <c r="B56" s="22"/>
      <c r="C56" s="9"/>
      <c r="D56" s="9"/>
    </row>
    <row r="57" spans="2:4" x14ac:dyDescent="0.2">
      <c r="B57" s="22"/>
      <c r="C57" s="9"/>
      <c r="D57" s="9"/>
    </row>
    <row r="58" spans="2:4" x14ac:dyDescent="0.2">
      <c r="B58" s="22"/>
      <c r="C58" s="9"/>
      <c r="D58" s="9"/>
    </row>
    <row r="59" spans="2:4" x14ac:dyDescent="0.2">
      <c r="B59" s="22"/>
      <c r="C59" s="9"/>
      <c r="D59" s="9"/>
    </row>
    <row r="60" spans="2:4" x14ac:dyDescent="0.2">
      <c r="B60" s="22"/>
      <c r="C60" s="9"/>
      <c r="D60" s="9"/>
    </row>
    <row r="61" spans="2:4" x14ac:dyDescent="0.2">
      <c r="B61" s="22"/>
      <c r="C61" s="9"/>
      <c r="D61" s="9"/>
    </row>
    <row r="62" spans="2:4" x14ac:dyDescent="0.2">
      <c r="B62" s="22"/>
      <c r="C62" s="9"/>
      <c r="D62" s="9"/>
    </row>
    <row r="63" spans="2:4" x14ac:dyDescent="0.2">
      <c r="B63" s="22"/>
      <c r="C63" s="9"/>
      <c r="D63" s="9"/>
    </row>
    <row r="64" spans="2:4" x14ac:dyDescent="0.2">
      <c r="B64" s="22"/>
      <c r="C64" s="9"/>
      <c r="D64" s="9"/>
    </row>
    <row r="65" spans="2:4" x14ac:dyDescent="0.2">
      <c r="B65" s="22"/>
      <c r="C65" s="9"/>
      <c r="D65" s="9"/>
    </row>
    <row r="66" spans="2:4" x14ac:dyDescent="0.2">
      <c r="B66" s="22"/>
      <c r="C66" s="9"/>
      <c r="D66" s="9"/>
    </row>
    <row r="67" spans="2:4" x14ac:dyDescent="0.2">
      <c r="B67" s="22"/>
      <c r="C67" s="9"/>
      <c r="D67" s="9"/>
    </row>
    <row r="68" spans="2:4" x14ac:dyDescent="0.2">
      <c r="B68" s="22"/>
      <c r="C68" s="9"/>
      <c r="D68" s="9"/>
    </row>
    <row r="69" spans="2:4" x14ac:dyDescent="0.2">
      <c r="B69" s="22"/>
      <c r="C69" s="9"/>
      <c r="D69" s="9"/>
    </row>
    <row r="70" spans="2:4" x14ac:dyDescent="0.2">
      <c r="B70" s="22"/>
      <c r="C70" s="9"/>
      <c r="D70" s="9"/>
    </row>
    <row r="71" spans="2:4" x14ac:dyDescent="0.2">
      <c r="B71" s="22"/>
      <c r="C71" s="9"/>
      <c r="D71" s="9"/>
    </row>
    <row r="72" spans="2:4" x14ac:dyDescent="0.2">
      <c r="B72" s="22"/>
      <c r="C72" s="9"/>
      <c r="D72" s="9"/>
    </row>
    <row r="73" spans="2:4" x14ac:dyDescent="0.2">
      <c r="B73" s="22"/>
      <c r="C73" s="9"/>
      <c r="D73" s="9"/>
    </row>
    <row r="74" spans="2:4" x14ac:dyDescent="0.2">
      <c r="B74" s="22"/>
      <c r="C74" s="9"/>
      <c r="D74" s="9"/>
    </row>
    <row r="75" spans="2:4" x14ac:dyDescent="0.2">
      <c r="B75" s="22"/>
      <c r="C75" s="9"/>
      <c r="D75" s="9"/>
    </row>
    <row r="76" spans="2:4" x14ac:dyDescent="0.2">
      <c r="B76" s="22"/>
      <c r="C76" s="9"/>
      <c r="D76" s="9"/>
    </row>
    <row r="77" spans="2:4" x14ac:dyDescent="0.2">
      <c r="B77" s="22"/>
      <c r="C77" s="9"/>
      <c r="D77" s="9"/>
    </row>
    <row r="78" spans="2:4" x14ac:dyDescent="0.2">
      <c r="B78" s="22"/>
      <c r="C78" s="9"/>
      <c r="D78" s="9"/>
    </row>
    <row r="79" spans="2:4" x14ac:dyDescent="0.2">
      <c r="B79" s="22"/>
      <c r="C79" s="9"/>
      <c r="D79" s="9"/>
    </row>
    <row r="80" spans="2:4" x14ac:dyDescent="0.2">
      <c r="B80" s="22"/>
      <c r="C80" s="9"/>
      <c r="D80" s="9"/>
    </row>
    <row r="81" spans="2:4" x14ac:dyDescent="0.2">
      <c r="B81" s="22"/>
      <c r="C81" s="9"/>
      <c r="D81" s="9"/>
    </row>
    <row r="82" spans="2:4" x14ac:dyDescent="0.2">
      <c r="B82" s="22"/>
      <c r="C82" s="9"/>
      <c r="D82" s="9"/>
    </row>
    <row r="83" spans="2:4" x14ac:dyDescent="0.2">
      <c r="B83" s="22"/>
      <c r="C83" s="9"/>
      <c r="D83" s="9"/>
    </row>
    <row r="84" spans="2:4" x14ac:dyDescent="0.2">
      <c r="B84" s="22"/>
      <c r="C84" s="9"/>
      <c r="D84" s="9"/>
    </row>
    <row r="85" spans="2:4" x14ac:dyDescent="0.2">
      <c r="B85" s="22"/>
      <c r="C85" s="9"/>
      <c r="D85" s="9"/>
    </row>
    <row r="86" spans="2:4" x14ac:dyDescent="0.2">
      <c r="B86" s="22"/>
      <c r="C86" s="9"/>
      <c r="D86" s="9"/>
    </row>
    <row r="87" spans="2:4" x14ac:dyDescent="0.2">
      <c r="B87" s="22"/>
      <c r="C87" s="9"/>
      <c r="D87" s="9"/>
    </row>
    <row r="88" spans="2:4" x14ac:dyDescent="0.2">
      <c r="B88" s="22"/>
      <c r="C88" s="9"/>
      <c r="D88" s="9"/>
    </row>
    <row r="89" spans="2:4" x14ac:dyDescent="0.2">
      <c r="B89" s="22"/>
      <c r="C89" s="9"/>
      <c r="D89" s="9"/>
    </row>
    <row r="90" spans="2:4" x14ac:dyDescent="0.2">
      <c r="B90" s="22"/>
      <c r="C90" s="9"/>
      <c r="D90" s="9"/>
    </row>
    <row r="91" spans="2:4" x14ac:dyDescent="0.2">
      <c r="B91" s="22"/>
      <c r="C91" s="9"/>
      <c r="D91" s="9"/>
    </row>
    <row r="92" spans="2:4" x14ac:dyDescent="0.2">
      <c r="B92" s="22"/>
      <c r="C92" s="9"/>
      <c r="D92" s="9"/>
    </row>
    <row r="93" spans="2:4" x14ac:dyDescent="0.2">
      <c r="B93" s="22"/>
      <c r="C93" s="9"/>
      <c r="D93" s="9"/>
    </row>
    <row r="94" spans="2:4" x14ac:dyDescent="0.2">
      <c r="B94" s="22"/>
      <c r="C94" s="9"/>
      <c r="D94" s="9"/>
    </row>
    <row r="95" spans="2:4" x14ac:dyDescent="0.2">
      <c r="B95" s="22"/>
      <c r="C95" s="9"/>
      <c r="D95" s="9"/>
    </row>
    <row r="96" spans="2:4" x14ac:dyDescent="0.2">
      <c r="B96" s="22"/>
      <c r="C96" s="9"/>
      <c r="D96" s="9"/>
    </row>
    <row r="97" spans="2:4" x14ac:dyDescent="0.2">
      <c r="B97" s="22"/>
      <c r="C97" s="9"/>
      <c r="D97" s="9"/>
    </row>
    <row r="98" spans="2:4" x14ac:dyDescent="0.2">
      <c r="B98" s="22"/>
      <c r="C98" s="9"/>
      <c r="D98" s="9"/>
    </row>
    <row r="99" spans="2:4" x14ac:dyDescent="0.2">
      <c r="B99" s="22"/>
      <c r="C99" s="9"/>
      <c r="D99" s="9"/>
    </row>
    <row r="100" spans="2:4" x14ac:dyDescent="0.2">
      <c r="B100" s="22"/>
      <c r="C100" s="9"/>
      <c r="D100" s="9"/>
    </row>
    <row r="101" spans="2:4" x14ac:dyDescent="0.2">
      <c r="B101" s="22"/>
      <c r="C101" s="9"/>
      <c r="D101" s="9"/>
    </row>
    <row r="102" spans="2:4" x14ac:dyDescent="0.2">
      <c r="B102" s="22"/>
      <c r="C102" s="9"/>
      <c r="D102" s="9"/>
    </row>
    <row r="103" spans="2:4" x14ac:dyDescent="0.2">
      <c r="B103" s="22"/>
      <c r="C103" s="9"/>
      <c r="D103" s="9"/>
    </row>
    <row r="104" spans="2:4" x14ac:dyDescent="0.2">
      <c r="B104" s="22"/>
      <c r="C104" s="9"/>
      <c r="D104" s="9"/>
    </row>
    <row r="105" spans="2:4" x14ac:dyDescent="0.2">
      <c r="B105" s="22"/>
      <c r="C105" s="9"/>
      <c r="D105" s="9"/>
    </row>
    <row r="106" spans="2:4" x14ac:dyDescent="0.2">
      <c r="B106" s="22"/>
      <c r="C106" s="9"/>
      <c r="D106" s="9"/>
    </row>
    <row r="107" spans="2:4" x14ac:dyDescent="0.2">
      <c r="B107" s="22"/>
      <c r="C107" s="9"/>
      <c r="D107" s="9"/>
    </row>
    <row r="108" spans="2:4" x14ac:dyDescent="0.2">
      <c r="B108" s="22"/>
      <c r="C108" s="9"/>
      <c r="D108" s="9"/>
    </row>
    <row r="109" spans="2:4" x14ac:dyDescent="0.2">
      <c r="B109" s="22"/>
      <c r="C109" s="9"/>
      <c r="D109" s="9"/>
    </row>
    <row r="110" spans="2:4" x14ac:dyDescent="0.2">
      <c r="B110" s="22"/>
      <c r="C110" s="9"/>
      <c r="D110" s="9"/>
    </row>
    <row r="111" spans="2:4" x14ac:dyDescent="0.2">
      <c r="B111" s="22"/>
      <c r="C111" s="9"/>
      <c r="D111" s="9"/>
    </row>
    <row r="112" spans="2:4" x14ac:dyDescent="0.2">
      <c r="B112" s="22"/>
      <c r="C112" s="9"/>
      <c r="D112" s="9"/>
    </row>
    <row r="113" spans="2:4" x14ac:dyDescent="0.2">
      <c r="B113" s="22"/>
      <c r="C113" s="9"/>
      <c r="D113" s="9"/>
    </row>
    <row r="114" spans="2:4" x14ac:dyDescent="0.2">
      <c r="B114" s="22"/>
      <c r="C114" s="9"/>
      <c r="D114" s="9"/>
    </row>
    <row r="115" spans="2:4" x14ac:dyDescent="0.2">
      <c r="B115" s="22"/>
      <c r="C115" s="9"/>
      <c r="D115" s="9"/>
    </row>
    <row r="116" spans="2:4" x14ac:dyDescent="0.2">
      <c r="B116" s="22"/>
      <c r="C116" s="9"/>
      <c r="D116" s="9"/>
    </row>
    <row r="117" spans="2:4" x14ac:dyDescent="0.2">
      <c r="B117" s="22"/>
      <c r="C117" s="9"/>
      <c r="D117" s="9"/>
    </row>
    <row r="118" spans="2:4" x14ac:dyDescent="0.2">
      <c r="B118" s="22"/>
      <c r="C118" s="9"/>
      <c r="D118" s="9"/>
    </row>
    <row r="119" spans="2:4" x14ac:dyDescent="0.2">
      <c r="B119" s="22"/>
      <c r="C119" s="9"/>
      <c r="D119" s="9"/>
    </row>
    <row r="120" spans="2:4" x14ac:dyDescent="0.2">
      <c r="B120" s="22"/>
      <c r="C120" s="9"/>
      <c r="D120" s="9"/>
    </row>
    <row r="121" spans="2:4" x14ac:dyDescent="0.2">
      <c r="B121" s="22"/>
      <c r="C121" s="9"/>
      <c r="D121" s="9"/>
    </row>
    <row r="122" spans="2:4" x14ac:dyDescent="0.2">
      <c r="B122" s="22"/>
      <c r="C122" s="9"/>
      <c r="D122" s="9"/>
    </row>
    <row r="123" spans="2:4" x14ac:dyDescent="0.2">
      <c r="B123" s="22"/>
      <c r="C123" s="9"/>
      <c r="D123" s="9"/>
    </row>
    <row r="124" spans="2:4" x14ac:dyDescent="0.2">
      <c r="B124" s="22"/>
      <c r="C124" s="9"/>
      <c r="D124" s="9"/>
    </row>
    <row r="125" spans="2:4" x14ac:dyDescent="0.2">
      <c r="B125" s="22"/>
      <c r="C125" s="9"/>
      <c r="D125" s="9"/>
    </row>
    <row r="126" spans="2:4" x14ac:dyDescent="0.2">
      <c r="B126" s="22"/>
      <c r="C126" s="9"/>
      <c r="D126" s="9"/>
    </row>
    <row r="127" spans="2:4" x14ac:dyDescent="0.2">
      <c r="B127" s="22"/>
      <c r="C127" s="9"/>
      <c r="D127" s="9"/>
    </row>
    <row r="128" spans="2:4" x14ac:dyDescent="0.2">
      <c r="B128" s="22"/>
      <c r="C128" s="9"/>
      <c r="D128" s="9"/>
    </row>
    <row r="129" spans="2:4" x14ac:dyDescent="0.2">
      <c r="B129" s="22"/>
      <c r="C129" s="9"/>
      <c r="D129" s="9"/>
    </row>
    <row r="130" spans="2:4" x14ac:dyDescent="0.2">
      <c r="B130" s="22"/>
      <c r="C130" s="9"/>
      <c r="D130" s="9"/>
    </row>
    <row r="131" spans="2:4" x14ac:dyDescent="0.2">
      <c r="B131" s="22"/>
      <c r="C131" s="9"/>
      <c r="D131" s="9"/>
    </row>
    <row r="132" spans="2:4" x14ac:dyDescent="0.2">
      <c r="B132" s="22"/>
      <c r="C132" s="9"/>
      <c r="D132" s="9"/>
    </row>
    <row r="133" spans="2:4" x14ac:dyDescent="0.2">
      <c r="B133" s="22"/>
      <c r="C133" s="9"/>
      <c r="D133" s="9"/>
    </row>
    <row r="134" spans="2:4" x14ac:dyDescent="0.2">
      <c r="B134" s="22"/>
      <c r="C134" s="9"/>
      <c r="D134" s="9"/>
    </row>
    <row r="135" spans="2:4" x14ac:dyDescent="0.2">
      <c r="B135" s="22"/>
      <c r="C135" s="9"/>
      <c r="D135" s="9"/>
    </row>
    <row r="136" spans="2:4" x14ac:dyDescent="0.2">
      <c r="B136" s="22"/>
      <c r="C136" s="9"/>
      <c r="D136" s="9"/>
    </row>
    <row r="137" spans="2:4" x14ac:dyDescent="0.2">
      <c r="B137" s="22"/>
      <c r="C137" s="9"/>
      <c r="D137" s="9"/>
    </row>
    <row r="138" spans="2:4" x14ac:dyDescent="0.2">
      <c r="B138" s="22"/>
      <c r="C138" s="9"/>
      <c r="D138" s="9"/>
    </row>
    <row r="139" spans="2:4" x14ac:dyDescent="0.2">
      <c r="B139" s="22"/>
      <c r="C139" s="9"/>
      <c r="D139" s="9"/>
    </row>
    <row r="140" spans="2:4" x14ac:dyDescent="0.2">
      <c r="C140" s="9"/>
      <c r="D140" s="9"/>
    </row>
    <row r="141" spans="2:4" x14ac:dyDescent="0.2">
      <c r="C141" s="9"/>
      <c r="D141" s="9"/>
    </row>
    <row r="142" spans="2:4" x14ac:dyDescent="0.2">
      <c r="C142" s="9"/>
      <c r="D142" s="9"/>
    </row>
    <row r="143" spans="2:4" x14ac:dyDescent="0.2">
      <c r="C143" s="9"/>
      <c r="D143" s="9"/>
    </row>
    <row r="144" spans="2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workbookViewId="0">
      <selection activeCell="A30" sqref="A30:D34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  <c r="C1" s="19" t="s">
        <v>39</v>
      </c>
    </row>
    <row r="2" spans="1:5" x14ac:dyDescent="0.2">
      <c r="A2" t="s">
        <v>25</v>
      </c>
      <c r="B2" s="18" t="s">
        <v>38</v>
      </c>
      <c r="C2" s="13" t="s">
        <v>35</v>
      </c>
    </row>
    <row r="3" spans="1:5" ht="13.5" thickBot="1" x14ac:dyDescent="0.25">
      <c r="C3" s="14" t="s">
        <v>36</v>
      </c>
    </row>
    <row r="4" spans="1:5" ht="14.25" thickTop="1" thickBot="1" x14ac:dyDescent="0.25">
      <c r="A4" s="4" t="s">
        <v>0</v>
      </c>
      <c r="C4" s="7">
        <v>27951.526000000002</v>
      </c>
      <c r="D4" s="8">
        <v>0.98082069999999999</v>
      </c>
    </row>
    <row r="6" spans="1:5" x14ac:dyDescent="0.2">
      <c r="A6" s="4" t="s">
        <v>1</v>
      </c>
    </row>
    <row r="7" spans="1:5" x14ac:dyDescent="0.2">
      <c r="A7" t="s">
        <v>2</v>
      </c>
      <c r="C7">
        <f>+C4</f>
        <v>27951.526000000002</v>
      </c>
    </row>
    <row r="8" spans="1:5" x14ac:dyDescent="0.2">
      <c r="A8" t="s">
        <v>3</v>
      </c>
      <c r="C8">
        <v>0.98011548078717081</v>
      </c>
    </row>
    <row r="9" spans="1:5" x14ac:dyDescent="0.2">
      <c r="A9" s="20" t="s">
        <v>40</v>
      </c>
      <c r="B9" s="18"/>
      <c r="C9" s="21">
        <v>8</v>
      </c>
      <c r="D9" s="18" t="s">
        <v>41</v>
      </c>
      <c r="E9" s="18"/>
    </row>
    <row r="10" spans="1:5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5" x14ac:dyDescent="0.2">
      <c r="A11" s="18" t="s">
        <v>16</v>
      </c>
      <c r="B11" s="18"/>
      <c r="C11" s="18">
        <f>INTERCEPT(G21:G998,F21:F998)</f>
        <v>-0.24857562855409721</v>
      </c>
      <c r="D11" s="22"/>
      <c r="E11" s="18"/>
    </row>
    <row r="12" spans="1:5" x14ac:dyDescent="0.2">
      <c r="A12" s="18" t="s">
        <v>17</v>
      </c>
      <c r="B12" s="18"/>
      <c r="C12" s="18">
        <f>SLOPE(G21:G998,F21:F998)</f>
        <v>6.0449677666830998E-6</v>
      </c>
      <c r="D12" s="22"/>
      <c r="E12" s="18"/>
    </row>
    <row r="13" spans="1:5" x14ac:dyDescent="0.2">
      <c r="A13" s="18" t="s">
        <v>20</v>
      </c>
      <c r="B13" s="18"/>
      <c r="C13" s="22" t="s">
        <v>14</v>
      </c>
      <c r="D13" s="22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3" t="s">
        <v>18</v>
      </c>
      <c r="B15" s="18"/>
      <c r="C15" s="24">
        <f>(C7+C11)+(C8+C12)*INT(MAX(F21:F3533))</f>
        <v>55775.947419028365</v>
      </c>
      <c r="D15" s="25" t="s">
        <v>42</v>
      </c>
      <c r="E15" s="26">
        <f ca="1">TODAY()+15018.5-B9/24</f>
        <v>60328.5</v>
      </c>
    </row>
    <row r="16" spans="1:5" x14ac:dyDescent="0.2">
      <c r="A16" s="27" t="s">
        <v>4</v>
      </c>
      <c r="B16" s="18"/>
      <c r="C16" s="28">
        <f>+C8+C12</f>
        <v>0.98012152575493749</v>
      </c>
      <c r="D16" s="25" t="s">
        <v>43</v>
      </c>
      <c r="E16" s="26">
        <f ca="1">ROUND(2*(E15-C15)/C16,0)/2+1</f>
        <v>4646</v>
      </c>
    </row>
    <row r="17" spans="1:18" ht="13.5" thickBot="1" x14ac:dyDescent="0.25">
      <c r="A17" s="25" t="s">
        <v>31</v>
      </c>
      <c r="B17" s="18"/>
      <c r="C17" s="18">
        <f>COUNT(C21:C2191)</f>
        <v>14</v>
      </c>
      <c r="D17" s="25" t="s">
        <v>44</v>
      </c>
      <c r="E17" s="29">
        <f ca="1">+C15+C16*E16-15018.5-C9/24</f>
        <v>45310.758694352473</v>
      </c>
    </row>
    <row r="18" spans="1:18" ht="14.25" thickTop="1" thickBot="1" x14ac:dyDescent="0.25">
      <c r="A18" s="27" t="s">
        <v>5</v>
      </c>
      <c r="B18" s="18"/>
      <c r="C18" s="30">
        <f>+C15</f>
        <v>55775.947419028365</v>
      </c>
      <c r="D18" s="31">
        <f>+C16</f>
        <v>0.98012152575493749</v>
      </c>
      <c r="E18" s="32" t="s">
        <v>45</v>
      </c>
      <c r="R18">
        <f>SQRT(SUM(R22:R26)/(COUNT(R22:R26)-1))</f>
        <v>0.12037357151114743</v>
      </c>
    </row>
    <row r="19" spans="1:18" ht="13.5" thickTop="1" x14ac:dyDescent="0.2">
      <c r="F19">
        <v>19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x14ac:dyDescent="0.2">
      <c r="A21" t="s">
        <v>12</v>
      </c>
      <c r="C21" s="9">
        <v>27951.526000000002</v>
      </c>
      <c r="D21" s="9" t="s">
        <v>14</v>
      </c>
      <c r="E21">
        <f>+(C21-C$7)/C$8</f>
        <v>0</v>
      </c>
      <c r="F21">
        <f>ROUND(2*E21,0)/2</f>
        <v>0</v>
      </c>
      <c r="H21" s="14">
        <v>0</v>
      </c>
      <c r="O21">
        <f>+C$11+C$12*$F21</f>
        <v>-0.24857562855409721</v>
      </c>
      <c r="Q21" s="2">
        <f>+C21-15018.5</f>
        <v>12933.026000000002</v>
      </c>
    </row>
    <row r="22" spans="1:18" x14ac:dyDescent="0.2">
      <c r="A22" s="10" t="s">
        <v>32</v>
      </c>
      <c r="B22" s="11"/>
      <c r="C22" s="12">
        <v>53654.564700000003</v>
      </c>
      <c r="D22" s="12">
        <v>1.8E-3</v>
      </c>
      <c r="E22">
        <f t="shared" ref="E22:E29" si="0">+(C22-C$7)/C$8</f>
        <v>26224.500279657699</v>
      </c>
      <c r="F22">
        <f t="shared" ref="F22:F29" si="1">ROUND(2*E22,0)/2</f>
        <v>26224.5</v>
      </c>
      <c r="G22">
        <f t="shared" ref="G22:G29" si="2">+C22-(C$7+F22*C$8)</f>
        <v>2.7409684116719291E-4</v>
      </c>
      <c r="I22">
        <f t="shared" ref="I22:I29" si="3">+G22</f>
        <v>2.7409684116719291E-4</v>
      </c>
      <c r="O22">
        <f t="shared" ref="O22:O29" si="4">+C$11+C$12*$F22</f>
        <v>-9.0049371356716257E-2</v>
      </c>
      <c r="Q22" s="2">
        <f t="shared" ref="Q22:Q29" si="5">+C22-15018.5</f>
        <v>38636.064700000003</v>
      </c>
      <c r="R22">
        <f t="shared" ref="R22:R29" si="6">+(O22-G22)^2</f>
        <v>8.1583289072940622E-3</v>
      </c>
    </row>
    <row r="23" spans="1:18" x14ac:dyDescent="0.2">
      <c r="A23" s="15" t="s">
        <v>33</v>
      </c>
      <c r="B23" s="16" t="s">
        <v>34</v>
      </c>
      <c r="C23" s="17">
        <v>53670.245999999999</v>
      </c>
      <c r="D23" s="17">
        <v>8.0000000000000002E-3</v>
      </c>
      <c r="E23">
        <f t="shared" si="0"/>
        <v>26240.49972085355</v>
      </c>
      <c r="F23">
        <f t="shared" si="1"/>
        <v>26240.5</v>
      </c>
      <c r="G23">
        <f t="shared" si="2"/>
        <v>-2.7359575324226171E-4</v>
      </c>
      <c r="I23">
        <f t="shared" si="3"/>
        <v>-2.7359575324226171E-4</v>
      </c>
      <c r="O23">
        <f t="shared" si="4"/>
        <v>-8.995265187244933E-2</v>
      </c>
      <c r="Q23" s="2">
        <f t="shared" si="5"/>
        <v>38651.745999999999</v>
      </c>
      <c r="R23">
        <f t="shared" si="6"/>
        <v>8.0423331064318898E-3</v>
      </c>
    </row>
    <row r="24" spans="1:18" x14ac:dyDescent="0.2">
      <c r="A24" s="10" t="s">
        <v>46</v>
      </c>
      <c r="B24" s="11" t="s">
        <v>47</v>
      </c>
      <c r="C24" s="12">
        <v>54019.423000000003</v>
      </c>
      <c r="D24" s="12">
        <v>2.0000000000000001E-4</v>
      </c>
      <c r="E24">
        <f t="shared" si="0"/>
        <v>26596.760801149481</v>
      </c>
      <c r="F24">
        <f t="shared" si="1"/>
        <v>26597</v>
      </c>
      <c r="G24">
        <f t="shared" si="2"/>
        <v>-0.23444249638123438</v>
      </c>
      <c r="I24">
        <f t="shared" si="3"/>
        <v>-0.23444249638123438</v>
      </c>
      <c r="O24">
        <f t="shared" si="4"/>
        <v>-8.7797620863626802E-2</v>
      </c>
      <c r="Q24" s="2">
        <f t="shared" si="5"/>
        <v>39000.923000000003</v>
      </c>
      <c r="R24">
        <f t="shared" si="6"/>
        <v>2.1504719515574623E-2</v>
      </c>
    </row>
    <row r="25" spans="1:18" x14ac:dyDescent="0.2">
      <c r="A25" s="12" t="s">
        <v>49</v>
      </c>
      <c r="B25" s="41" t="s">
        <v>34</v>
      </c>
      <c r="C25" s="12">
        <v>54768.761100000003</v>
      </c>
      <c r="D25" s="12">
        <v>5.9999999999999995E-4</v>
      </c>
      <c r="E25">
        <f t="shared" si="0"/>
        <v>27361.301423850568</v>
      </c>
      <c r="F25">
        <f t="shared" si="1"/>
        <v>27361.5</v>
      </c>
      <c r="G25">
        <f t="shared" si="2"/>
        <v>-0.19462755817221478</v>
      </c>
      <c r="I25">
        <f t="shared" si="3"/>
        <v>-0.19462755817221478</v>
      </c>
      <c r="O25">
        <f t="shared" si="4"/>
        <v>-8.3176243005997574E-2</v>
      </c>
      <c r="Q25" s="2">
        <f t="shared" si="5"/>
        <v>39750.261100000003</v>
      </c>
      <c r="R25">
        <f t="shared" si="6"/>
        <v>1.2421395652279477E-2</v>
      </c>
    </row>
    <row r="26" spans="1:18" x14ac:dyDescent="0.2">
      <c r="A26" s="12" t="s">
        <v>49</v>
      </c>
      <c r="B26" s="41" t="s">
        <v>47</v>
      </c>
      <c r="C26" s="12">
        <v>54800.637999999999</v>
      </c>
      <c r="D26" s="12">
        <v>2E-3</v>
      </c>
      <c r="E26">
        <f t="shared" si="0"/>
        <v>27393.825040327265</v>
      </c>
      <c r="F26">
        <f t="shared" si="1"/>
        <v>27394</v>
      </c>
      <c r="G26">
        <f t="shared" si="2"/>
        <v>-0.17148068376263836</v>
      </c>
      <c r="I26">
        <f t="shared" si="3"/>
        <v>-0.17148068376263836</v>
      </c>
      <c r="O26">
        <f t="shared" si="4"/>
        <v>-8.2979781553580378E-2</v>
      </c>
      <c r="Q26" s="2">
        <f t="shared" si="5"/>
        <v>39782.137999999999</v>
      </c>
      <c r="R26">
        <f t="shared" si="6"/>
        <v>7.8324096918172444E-3</v>
      </c>
    </row>
    <row r="27" spans="1:18" x14ac:dyDescent="0.2">
      <c r="A27" s="42" t="s">
        <v>52</v>
      </c>
      <c r="B27" s="43" t="s">
        <v>47</v>
      </c>
      <c r="C27" s="42">
        <v>55158.6342</v>
      </c>
      <c r="D27" s="42">
        <v>5.0000000000000001E-4</v>
      </c>
      <c r="E27">
        <f t="shared" si="0"/>
        <v>27759.084243979964</v>
      </c>
      <c r="F27">
        <f t="shared" si="1"/>
        <v>27759</v>
      </c>
      <c r="G27">
        <f t="shared" si="2"/>
        <v>8.2568828918738291E-2</v>
      </c>
      <c r="I27">
        <f t="shared" si="3"/>
        <v>8.2568828918738291E-2</v>
      </c>
      <c r="O27">
        <f t="shared" si="4"/>
        <v>-8.0773368318741046E-2</v>
      </c>
      <c r="Q27" s="2">
        <f t="shared" si="5"/>
        <v>40140.1342</v>
      </c>
      <c r="R27">
        <f t="shared" si="6"/>
        <v>2.6680673398367601E-2</v>
      </c>
    </row>
    <row r="28" spans="1:18" x14ac:dyDescent="0.2">
      <c r="A28" s="44" t="s">
        <v>53</v>
      </c>
      <c r="B28" s="45" t="s">
        <v>47</v>
      </c>
      <c r="C28" s="46">
        <v>55511.7094</v>
      </c>
      <c r="D28" s="46">
        <v>2.8E-3</v>
      </c>
      <c r="E28">
        <f t="shared" si="0"/>
        <v>28119.32261070429</v>
      </c>
      <c r="F28">
        <f t="shared" si="1"/>
        <v>28119.5</v>
      </c>
      <c r="G28">
        <f t="shared" si="2"/>
        <v>-0.17386199485190446</v>
      </c>
      <c r="I28">
        <f t="shared" si="3"/>
        <v>-0.17386199485190446</v>
      </c>
      <c r="O28">
        <f t="shared" si="4"/>
        <v>-7.8594157438851786E-2</v>
      </c>
      <c r="Q28" s="2">
        <f t="shared" si="5"/>
        <v>40493.2094</v>
      </c>
      <c r="R28">
        <f t="shared" si="6"/>
        <v>9.0759608453598387E-3</v>
      </c>
    </row>
    <row r="29" spans="1:18" x14ac:dyDescent="0.2">
      <c r="A29" s="47" t="s">
        <v>56</v>
      </c>
      <c r="B29" s="48" t="s">
        <v>47</v>
      </c>
      <c r="C29" s="47">
        <v>55776.536</v>
      </c>
      <c r="D29" s="47" t="s">
        <v>57</v>
      </c>
      <c r="E29">
        <f t="shared" si="0"/>
        <v>28389.521995563824</v>
      </c>
      <c r="F29">
        <f t="shared" si="1"/>
        <v>28389.5</v>
      </c>
      <c r="G29">
        <f t="shared" si="2"/>
        <v>2.1558192609518301E-2</v>
      </c>
      <c r="I29">
        <f t="shared" si="3"/>
        <v>2.1558192609518301E-2</v>
      </c>
      <c r="O29">
        <f t="shared" si="4"/>
        <v>-7.6962016141847334E-2</v>
      </c>
      <c r="Q29" s="2">
        <f t="shared" si="5"/>
        <v>40758.036</v>
      </c>
      <c r="R29">
        <f t="shared" si="6"/>
        <v>9.7062315324126618E-3</v>
      </c>
    </row>
    <row r="30" spans="1:18" x14ac:dyDescent="0.2">
      <c r="A30" s="70" t="s">
        <v>78</v>
      </c>
      <c r="B30" s="71" t="s">
        <v>34</v>
      </c>
      <c r="C30" s="70">
        <v>51575.216999999997</v>
      </c>
      <c r="D30" s="70" t="s">
        <v>71</v>
      </c>
      <c r="Q30" s="2"/>
    </row>
    <row r="31" spans="1:18" x14ac:dyDescent="0.2">
      <c r="A31" s="70" t="s">
        <v>82</v>
      </c>
      <c r="B31" s="71" t="s">
        <v>34</v>
      </c>
      <c r="C31" s="70">
        <v>51879.316599999998</v>
      </c>
      <c r="D31" s="70" t="s">
        <v>71</v>
      </c>
      <c r="Q31" s="2"/>
    </row>
    <row r="32" spans="1:18" x14ac:dyDescent="0.2">
      <c r="A32" s="70" t="s">
        <v>104</v>
      </c>
      <c r="B32" s="71" t="s">
        <v>34</v>
      </c>
      <c r="C32" s="70">
        <v>54374.4781</v>
      </c>
      <c r="D32" s="70" t="s">
        <v>71</v>
      </c>
      <c r="Q32" s="2"/>
    </row>
    <row r="33" spans="1:17" x14ac:dyDescent="0.2">
      <c r="A33" s="70" t="s">
        <v>118</v>
      </c>
      <c r="B33" s="71" t="s">
        <v>47</v>
      </c>
      <c r="C33" s="70">
        <v>55063.497100000001</v>
      </c>
      <c r="D33" s="70" t="s">
        <v>71</v>
      </c>
      <c r="Q33" s="2"/>
    </row>
    <row r="34" spans="1:17" x14ac:dyDescent="0.2">
      <c r="A34" s="70" t="s">
        <v>143</v>
      </c>
      <c r="B34" s="71" t="s">
        <v>34</v>
      </c>
      <c r="C34" s="70">
        <v>55856.473700000002</v>
      </c>
      <c r="D34" s="70" t="s">
        <v>71</v>
      </c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9"/>
  <sheetViews>
    <sheetView workbookViewId="0">
      <selection activeCell="E39" sqref="E39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C1" s="19" t="s">
        <v>39</v>
      </c>
    </row>
    <row r="2" spans="1:7" x14ac:dyDescent="0.2">
      <c r="A2" t="s">
        <v>25</v>
      </c>
      <c r="B2" s="18" t="s">
        <v>38</v>
      </c>
      <c r="C2" s="13"/>
    </row>
    <row r="3" spans="1:7" ht="13.5" thickBot="1" x14ac:dyDescent="0.25">
      <c r="C3" s="14"/>
    </row>
    <row r="4" spans="1:7" ht="14.25" thickTop="1" thickBot="1" x14ac:dyDescent="0.25">
      <c r="A4" s="4" t="s">
        <v>0</v>
      </c>
      <c r="C4" s="37">
        <v>27951.526000000002</v>
      </c>
      <c r="D4" s="38">
        <v>0.98082069999999999</v>
      </c>
    </row>
    <row r="6" spans="1:7" x14ac:dyDescent="0.2">
      <c r="A6" s="4" t="s">
        <v>1</v>
      </c>
    </row>
    <row r="7" spans="1:7" x14ac:dyDescent="0.2">
      <c r="A7" t="s">
        <v>2</v>
      </c>
      <c r="C7">
        <v>54019.423213537164</v>
      </c>
    </row>
    <row r="8" spans="1:7" x14ac:dyDescent="0.2">
      <c r="A8" t="s">
        <v>3</v>
      </c>
      <c r="C8">
        <v>0.97947316956308128</v>
      </c>
    </row>
    <row r="9" spans="1:7" x14ac:dyDescent="0.2">
      <c r="A9" s="20" t="s">
        <v>40</v>
      </c>
      <c r="B9" s="18"/>
      <c r="C9" s="21">
        <v>8</v>
      </c>
      <c r="D9" s="18" t="s">
        <v>41</v>
      </c>
      <c r="E9" s="18"/>
    </row>
    <row r="10" spans="1:7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7" x14ac:dyDescent="0.2">
      <c r="A11" s="18" t="s">
        <v>16</v>
      </c>
      <c r="B11" s="18"/>
      <c r="C11" s="33">
        <f ca="1">INTERCEPT(INDIRECT($G$11):G991,INDIRECT($F$11):F991)</f>
        <v>2.6325582249031157E-2</v>
      </c>
      <c r="D11" s="22"/>
      <c r="E11" s="18"/>
      <c r="F11" s="34" t="str">
        <f>"F"&amp;E19</f>
        <v>F21</v>
      </c>
      <c r="G11" s="14" t="str">
        <f>"G"&amp;E19</f>
        <v>G21</v>
      </c>
    </row>
    <row r="12" spans="1:7" x14ac:dyDescent="0.2">
      <c r="A12" s="18" t="s">
        <v>17</v>
      </c>
      <c r="B12" s="18"/>
      <c r="C12" s="33">
        <f ca="1">SLOPE(INDIRECT($G$11):G991,INDIRECT($F$11):F991)</f>
        <v>-6.2764970150028382E-6</v>
      </c>
      <c r="D12" s="22"/>
      <c r="E12" s="18"/>
    </row>
    <row r="13" spans="1:7" x14ac:dyDescent="0.2">
      <c r="A13" s="18" t="s">
        <v>20</v>
      </c>
      <c r="B13" s="18"/>
      <c r="C13" s="22" t="s">
        <v>14</v>
      </c>
      <c r="D13" s="22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3" t="s">
        <v>18</v>
      </c>
      <c r="B15" s="18"/>
      <c r="C15" s="24">
        <f ca="1">(C7+C11)+(C8+C12)*INT(MAX(F21:F3532))</f>
        <v>55855.949963618288</v>
      </c>
      <c r="D15" s="25" t="s">
        <v>42</v>
      </c>
      <c r="E15" s="26">
        <f ca="1">TODAY()+15018.5-B9/24</f>
        <v>60328.5</v>
      </c>
    </row>
    <row r="16" spans="1:7" x14ac:dyDescent="0.2">
      <c r="A16" s="27" t="s">
        <v>4</v>
      </c>
      <c r="B16" s="18"/>
      <c r="C16" s="28">
        <f ca="1">+C8+C12</f>
        <v>0.97946689306606627</v>
      </c>
      <c r="D16" s="25" t="s">
        <v>43</v>
      </c>
      <c r="E16" s="26">
        <f ca="1">ROUND(2*(E15-C15)/C16,0)/2+1</f>
        <v>4567.5</v>
      </c>
    </row>
    <row r="17" spans="1:18" ht="13.5" thickBot="1" x14ac:dyDescent="0.25">
      <c r="A17" s="25" t="s">
        <v>31</v>
      </c>
      <c r="B17" s="18"/>
      <c r="C17" s="18">
        <f>COUNT(C21:C2190)</f>
        <v>14</v>
      </c>
      <c r="D17" s="25" t="s">
        <v>44</v>
      </c>
      <c r="E17" s="29">
        <f ca="1">+C15+C16*E16-15018.5-C9/24</f>
        <v>45310.83166436421</v>
      </c>
    </row>
    <row r="18" spans="1:18" ht="14.25" thickTop="1" thickBot="1" x14ac:dyDescent="0.25">
      <c r="A18" s="27" t="s">
        <v>5</v>
      </c>
      <c r="B18" s="18"/>
      <c r="C18" s="30">
        <f ca="1">+C15</f>
        <v>55855.949963618288</v>
      </c>
      <c r="D18" s="31">
        <f ca="1">+C16</f>
        <v>0.97946689306606627</v>
      </c>
      <c r="E18" s="32" t="s">
        <v>45</v>
      </c>
      <c r="R18">
        <f ca="1">SQRT(SUM(R22:R26)/(COUNT(R22:R26)-1))</f>
        <v>2.7914297035850088E-2</v>
      </c>
    </row>
    <row r="19" spans="1:18" ht="13.5" thickTop="1" x14ac:dyDescent="0.2">
      <c r="A19" s="35" t="s">
        <v>48</v>
      </c>
      <c r="E19" s="36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x14ac:dyDescent="0.2">
      <c r="A21" t="s">
        <v>12</v>
      </c>
      <c r="C21" s="9">
        <v>27951.526000000002</v>
      </c>
      <c r="D21" s="9" t="s">
        <v>14</v>
      </c>
      <c r="E21">
        <f t="shared" ref="E21:E34" si="0">+(C21-C$7)/C$8</f>
        <v>-26614.202434116094</v>
      </c>
      <c r="F21">
        <f t="shared" ref="F21:F34" si="1">ROUND(2*E21,0)/2</f>
        <v>-26614</v>
      </c>
      <c r="H21" s="14"/>
      <c r="O21">
        <f t="shared" ref="O21:O34" ca="1" si="2">+C$11+C$12*$F21</f>
        <v>0.19336827380631672</v>
      </c>
      <c r="Q21" s="2">
        <f t="shared" ref="Q21:Q34" si="3">+C21-15018.5</f>
        <v>12933.026000000002</v>
      </c>
    </row>
    <row r="22" spans="1:18" x14ac:dyDescent="0.2">
      <c r="A22" s="70" t="s">
        <v>78</v>
      </c>
      <c r="B22" s="71" t="s">
        <v>34</v>
      </c>
      <c r="C22" s="70">
        <v>51575.216999999997</v>
      </c>
      <c r="D22" s="70" t="s">
        <v>71</v>
      </c>
      <c r="E22">
        <f t="shared" si="0"/>
        <v>-2495.4294711589364</v>
      </c>
      <c r="F22">
        <f t="shared" si="1"/>
        <v>-2495.5</v>
      </c>
      <c r="G22">
        <f t="shared" ref="G22:G34" si="4">+C22-(C$7+F22*C$8)</f>
        <v>6.9081107503734529E-2</v>
      </c>
      <c r="I22">
        <f t="shared" ref="I22:I34" si="5">+G22</f>
        <v>6.9081107503734529E-2</v>
      </c>
      <c r="O22">
        <f t="shared" ca="1" si="2"/>
        <v>4.198858054997074E-2</v>
      </c>
      <c r="Q22" s="2">
        <f t="shared" si="3"/>
        <v>36556.716999999997</v>
      </c>
      <c r="R22">
        <f t="shared" ref="R22:R34" ca="1" si="6">+(O22-G22)^2</f>
        <v>7.3400501674041746E-4</v>
      </c>
    </row>
    <row r="23" spans="1:18" x14ac:dyDescent="0.2">
      <c r="A23" s="70" t="s">
        <v>82</v>
      </c>
      <c r="B23" s="71" t="s">
        <v>34</v>
      </c>
      <c r="C23" s="70">
        <v>51879.316599999998</v>
      </c>
      <c r="D23" s="70" t="s">
        <v>71</v>
      </c>
      <c r="E23">
        <f t="shared" si="0"/>
        <v>-2184.9568523574917</v>
      </c>
      <c r="F23">
        <f t="shared" si="1"/>
        <v>-2185</v>
      </c>
      <c r="G23">
        <f t="shared" si="4"/>
        <v>4.2261958165909164E-2</v>
      </c>
      <c r="I23">
        <f t="shared" si="5"/>
        <v>4.2261958165909164E-2</v>
      </c>
      <c r="O23">
        <f t="shared" ca="1" si="2"/>
        <v>4.0039728226812357E-2</v>
      </c>
      <c r="Q23" s="2">
        <f t="shared" si="3"/>
        <v>36860.816599999998</v>
      </c>
      <c r="R23">
        <f t="shared" ca="1" si="6"/>
        <v>4.9383059022181959E-6</v>
      </c>
    </row>
    <row r="24" spans="1:18" x14ac:dyDescent="0.2">
      <c r="A24" s="10" t="s">
        <v>32</v>
      </c>
      <c r="B24" s="11"/>
      <c r="C24" s="12">
        <v>53654.564700000003</v>
      </c>
      <c r="D24" s="12">
        <v>1.8E-3</v>
      </c>
      <c r="E24">
        <f t="shared" si="0"/>
        <v>-372.50485758575263</v>
      </c>
      <c r="F24">
        <f t="shared" si="1"/>
        <v>-372.5</v>
      </c>
      <c r="G24">
        <f t="shared" si="4"/>
        <v>-4.7578749145031907E-3</v>
      </c>
      <c r="I24">
        <f t="shared" si="5"/>
        <v>-4.7578749145031907E-3</v>
      </c>
      <c r="O24">
        <f t="shared" ca="1" si="2"/>
        <v>2.8663577387119714E-2</v>
      </c>
      <c r="Q24" s="2">
        <f t="shared" si="3"/>
        <v>38636.064700000003</v>
      </c>
      <c r="R24">
        <f t="shared" ca="1" si="6"/>
        <v>1.1169934739496548E-3</v>
      </c>
    </row>
    <row r="25" spans="1:18" x14ac:dyDescent="0.2">
      <c r="A25" s="15" t="s">
        <v>33</v>
      </c>
      <c r="B25" s="16" t="s">
        <v>34</v>
      </c>
      <c r="C25" s="17">
        <v>53670.245999999999</v>
      </c>
      <c r="D25" s="17">
        <v>8.0000000000000002E-3</v>
      </c>
      <c r="E25">
        <f t="shared" si="0"/>
        <v>-356.49492440198651</v>
      </c>
      <c r="F25">
        <f t="shared" si="1"/>
        <v>-356.5</v>
      </c>
      <c r="G25">
        <f t="shared" si="4"/>
        <v>4.9714120759745128E-3</v>
      </c>
      <c r="I25">
        <f t="shared" si="5"/>
        <v>4.9714120759745128E-3</v>
      </c>
      <c r="O25">
        <f t="shared" ca="1" si="2"/>
        <v>2.8563153434879668E-2</v>
      </c>
      <c r="Q25" s="2">
        <f t="shared" si="3"/>
        <v>38651.745999999999</v>
      </c>
      <c r="R25">
        <f t="shared" ca="1" si="6"/>
        <v>5.5657026034547602E-4</v>
      </c>
    </row>
    <row r="26" spans="1:18" x14ac:dyDescent="0.2">
      <c r="A26" s="10" t="s">
        <v>46</v>
      </c>
      <c r="B26" s="11" t="s">
        <v>47</v>
      </c>
      <c r="C26" s="12">
        <v>54019.423000000003</v>
      </c>
      <c r="D26" s="12">
        <v>2.0000000000000001E-4</v>
      </c>
      <c r="E26">
        <f t="shared" si="0"/>
        <v>-2.1801226221089426E-4</v>
      </c>
      <c r="F26">
        <f t="shared" si="1"/>
        <v>0</v>
      </c>
      <c r="G26">
        <f t="shared" si="4"/>
        <v>-2.1353716147132218E-4</v>
      </c>
      <c r="I26">
        <f t="shared" si="5"/>
        <v>-2.1353716147132218E-4</v>
      </c>
      <c r="O26">
        <f t="shared" ca="1" si="2"/>
        <v>2.6325582249031157E-2</v>
      </c>
      <c r="Q26" s="2">
        <f t="shared" si="3"/>
        <v>39000.923000000003</v>
      </c>
      <c r="R26">
        <f t="shared" ca="1" si="6"/>
        <v>7.0432485908490943E-4</v>
      </c>
    </row>
    <row r="27" spans="1:18" x14ac:dyDescent="0.2">
      <c r="A27" s="70" t="s">
        <v>104</v>
      </c>
      <c r="B27" s="71" t="s">
        <v>34</v>
      </c>
      <c r="C27" s="70">
        <v>54374.4781</v>
      </c>
      <c r="D27" s="70" t="s">
        <v>71</v>
      </c>
      <c r="E27">
        <f t="shared" si="0"/>
        <v>362.49577578650519</v>
      </c>
      <c r="F27">
        <f t="shared" si="1"/>
        <v>362.5</v>
      </c>
      <c r="G27">
        <f t="shared" si="4"/>
        <v>-4.1375037835678086E-3</v>
      </c>
      <c r="I27">
        <f t="shared" si="5"/>
        <v>-4.1375037835678086E-3</v>
      </c>
      <c r="O27">
        <f t="shared" ca="1" si="2"/>
        <v>2.405035208109263E-2</v>
      </c>
      <c r="Q27" s="2">
        <f t="shared" si="3"/>
        <v>39355.9781</v>
      </c>
      <c r="R27">
        <f t="shared" ca="1" si="6"/>
        <v>7.9455521824687181E-4</v>
      </c>
    </row>
    <row r="28" spans="1:18" x14ac:dyDescent="0.2">
      <c r="A28" s="12" t="s">
        <v>49</v>
      </c>
      <c r="B28" s="41" t="s">
        <v>34</v>
      </c>
      <c r="C28" s="12">
        <v>54768.761100000003</v>
      </c>
      <c r="D28" s="12">
        <v>5.9999999999999995E-4</v>
      </c>
      <c r="E28">
        <f t="shared" si="0"/>
        <v>765.04176913503454</v>
      </c>
      <c r="F28">
        <f t="shared" si="1"/>
        <v>765</v>
      </c>
      <c r="G28">
        <f t="shared" si="4"/>
        <v>4.0911747084464878E-2</v>
      </c>
      <c r="I28">
        <f t="shared" si="5"/>
        <v>4.0911747084464878E-2</v>
      </c>
      <c r="O28">
        <f t="shared" ca="1" si="2"/>
        <v>2.1524062032553984E-2</v>
      </c>
      <c r="Q28" s="2">
        <f t="shared" si="3"/>
        <v>39750.261100000003</v>
      </c>
      <c r="R28">
        <f t="shared" ca="1" si="6"/>
        <v>3.7588233167208912E-4</v>
      </c>
    </row>
    <row r="29" spans="1:18" x14ac:dyDescent="0.2">
      <c r="A29" s="12" t="s">
        <v>49</v>
      </c>
      <c r="B29" s="41" t="s">
        <v>47</v>
      </c>
      <c r="C29" s="12">
        <v>54800.637999999999</v>
      </c>
      <c r="D29" s="12">
        <v>2E-3</v>
      </c>
      <c r="E29">
        <f t="shared" si="0"/>
        <v>797.58671369356205</v>
      </c>
      <c r="F29">
        <f t="shared" si="1"/>
        <v>797.5</v>
      </c>
      <c r="G29">
        <f t="shared" si="4"/>
        <v>8.4933736274251714E-2</v>
      </c>
      <c r="I29">
        <f t="shared" si="5"/>
        <v>8.4933736274251714E-2</v>
      </c>
      <c r="O29">
        <f t="shared" ca="1" si="2"/>
        <v>2.1320075879566393E-2</v>
      </c>
      <c r="Q29" s="2">
        <f t="shared" si="3"/>
        <v>39782.137999999999</v>
      </c>
      <c r="R29">
        <f t="shared" ca="1" si="6"/>
        <v>4.0466977888103566E-3</v>
      </c>
    </row>
    <row r="30" spans="1:18" x14ac:dyDescent="0.2">
      <c r="A30" s="70" t="s">
        <v>118</v>
      </c>
      <c r="B30" s="71" t="s">
        <v>47</v>
      </c>
      <c r="C30" s="70">
        <v>55063.497100000001</v>
      </c>
      <c r="D30" s="70" t="s">
        <v>71</v>
      </c>
      <c r="E30">
        <f t="shared" si="0"/>
        <v>1065.9545548639908</v>
      </c>
      <c r="F30">
        <f t="shared" si="1"/>
        <v>1066</v>
      </c>
      <c r="G30">
        <f t="shared" si="4"/>
        <v>-4.4512291409773752E-2</v>
      </c>
      <c r="I30">
        <f t="shared" si="5"/>
        <v>-4.4512291409773752E-2</v>
      </c>
      <c r="O30">
        <f t="shared" ca="1" si="2"/>
        <v>1.9634836431038132E-2</v>
      </c>
      <c r="Q30" s="2">
        <f t="shared" si="3"/>
        <v>40044.997100000001</v>
      </c>
      <c r="R30">
        <f t="shared" ca="1" si="6"/>
        <v>4.114854010225464E-3</v>
      </c>
    </row>
    <row r="31" spans="1:18" x14ac:dyDescent="0.2">
      <c r="A31" s="42" t="s">
        <v>52</v>
      </c>
      <c r="B31" s="43" t="s">
        <v>47</v>
      </c>
      <c r="C31" s="42">
        <v>55158.6342</v>
      </c>
      <c r="D31" s="42">
        <v>5.0000000000000001E-4</v>
      </c>
      <c r="E31">
        <f t="shared" si="0"/>
        <v>1163.085444158731</v>
      </c>
      <c r="F31">
        <f t="shared" si="1"/>
        <v>1163</v>
      </c>
      <c r="G31">
        <f t="shared" si="4"/>
        <v>8.3690260973526165E-2</v>
      </c>
      <c r="I31">
        <f t="shared" si="5"/>
        <v>8.3690260973526165E-2</v>
      </c>
      <c r="O31">
        <f t="shared" ca="1" si="2"/>
        <v>1.9026016220582857E-2</v>
      </c>
      <c r="Q31" s="2">
        <f t="shared" si="3"/>
        <v>40140.1342</v>
      </c>
      <c r="R31">
        <f t="shared" ca="1" si="6"/>
        <v>4.181464549468555E-3</v>
      </c>
    </row>
    <row r="32" spans="1:18" x14ac:dyDescent="0.2">
      <c r="A32" s="44" t="s">
        <v>53</v>
      </c>
      <c r="B32" s="45" t="s">
        <v>47</v>
      </c>
      <c r="C32" s="46">
        <v>55511.7094</v>
      </c>
      <c r="D32" s="46">
        <v>2.8E-3</v>
      </c>
      <c r="E32">
        <f t="shared" si="0"/>
        <v>1523.5600451705152</v>
      </c>
      <c r="F32">
        <f t="shared" si="1"/>
        <v>1523.5</v>
      </c>
      <c r="G32">
        <f t="shared" si="4"/>
        <v>5.8812633484194521E-2</v>
      </c>
      <c r="I32">
        <f t="shared" si="5"/>
        <v>5.8812633484194521E-2</v>
      </c>
      <c r="O32">
        <f t="shared" ca="1" si="2"/>
        <v>1.6763339046674333E-2</v>
      </c>
      <c r="Q32" s="2">
        <f t="shared" si="3"/>
        <v>40493.2094</v>
      </c>
      <c r="R32">
        <f t="shared" ca="1" si="6"/>
        <v>1.7681431626932662E-3</v>
      </c>
    </row>
    <row r="33" spans="1:18" x14ac:dyDescent="0.2">
      <c r="A33" s="47" t="s">
        <v>56</v>
      </c>
      <c r="B33" s="48" t="s">
        <v>47</v>
      </c>
      <c r="C33" s="47">
        <v>55776.536</v>
      </c>
      <c r="D33" s="47" t="s">
        <v>57</v>
      </c>
      <c r="E33">
        <f t="shared" si="0"/>
        <v>1793.9366192609855</v>
      </c>
      <c r="F33">
        <f t="shared" si="1"/>
        <v>1794</v>
      </c>
      <c r="G33">
        <f t="shared" si="4"/>
        <v>-6.2079733332211617E-2</v>
      </c>
      <c r="I33">
        <f t="shared" si="5"/>
        <v>-6.2079733332211617E-2</v>
      </c>
      <c r="O33">
        <f t="shared" ca="1" si="2"/>
        <v>1.5065546604116065E-2</v>
      </c>
      <c r="Q33" s="2">
        <f t="shared" si="3"/>
        <v>40758.036</v>
      </c>
      <c r="R33">
        <f t="shared" ca="1" si="6"/>
        <v>5.9513942164543619E-3</v>
      </c>
    </row>
    <row r="34" spans="1:18" x14ac:dyDescent="0.2">
      <c r="A34" s="70" t="s">
        <v>143</v>
      </c>
      <c r="B34" s="71" t="s">
        <v>34</v>
      </c>
      <c r="C34" s="70">
        <v>55856.473700000002</v>
      </c>
      <c r="D34" s="70" t="s">
        <v>71</v>
      </c>
      <c r="E34">
        <f t="shared" si="0"/>
        <v>1875.5495745557798</v>
      </c>
      <c r="F34">
        <f t="shared" si="1"/>
        <v>1875.5</v>
      </c>
      <c r="G34">
        <f t="shared" si="4"/>
        <v>4.8556947280303575E-2</v>
      </c>
      <c r="I34">
        <f t="shared" si="5"/>
        <v>4.8556947280303575E-2</v>
      </c>
      <c r="O34">
        <f t="shared" ca="1" si="2"/>
        <v>1.4554012097393335E-2</v>
      </c>
      <c r="Q34" s="2">
        <f t="shared" si="3"/>
        <v>40837.973700000002</v>
      </c>
      <c r="R34">
        <f t="shared" ca="1" si="6"/>
        <v>1.1561996010531952E-3</v>
      </c>
    </row>
    <row r="35" spans="1:18" x14ac:dyDescent="0.2">
      <c r="C35" s="9"/>
      <c r="D35" s="9"/>
    </row>
    <row r="36" spans="1:18" x14ac:dyDescent="0.2">
      <c r="C36" s="9"/>
      <c r="D36" s="9"/>
    </row>
    <row r="37" spans="1:18" x14ac:dyDescent="0.2">
      <c r="C37" s="9"/>
      <c r="D37" s="9"/>
    </row>
    <row r="38" spans="1:18" x14ac:dyDescent="0.2">
      <c r="C38" s="9"/>
      <c r="D38" s="9"/>
    </row>
    <row r="39" spans="1:18" x14ac:dyDescent="0.2">
      <c r="C39" s="9"/>
      <c r="D39" s="9"/>
    </row>
    <row r="40" spans="1:18" x14ac:dyDescent="0.2">
      <c r="C40" s="9"/>
      <c r="D40" s="9"/>
    </row>
    <row r="41" spans="1:18" x14ac:dyDescent="0.2">
      <c r="C41" s="9"/>
      <c r="D41" s="9"/>
    </row>
    <row r="42" spans="1:18" x14ac:dyDescent="0.2">
      <c r="C42" s="9"/>
      <c r="D42" s="9"/>
    </row>
    <row r="43" spans="1:18" x14ac:dyDescent="0.2">
      <c r="C43" s="9"/>
      <c r="D43" s="9"/>
    </row>
    <row r="44" spans="1:18" x14ac:dyDescent="0.2">
      <c r="C44" s="9"/>
      <c r="D44" s="9"/>
    </row>
    <row r="45" spans="1:18" x14ac:dyDescent="0.2">
      <c r="C45" s="9"/>
      <c r="D45" s="9"/>
    </row>
    <row r="46" spans="1:18" x14ac:dyDescent="0.2">
      <c r="C46" s="9"/>
      <c r="D46" s="9"/>
    </row>
    <row r="47" spans="1:18" x14ac:dyDescent="0.2">
      <c r="C47" s="9"/>
      <c r="D47" s="9"/>
    </row>
    <row r="48" spans="1:18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R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7"/>
  <sheetViews>
    <sheetView topLeftCell="A3" workbookViewId="0">
      <selection activeCell="A21" sqref="A21:D25"/>
    </sheetView>
  </sheetViews>
  <sheetFormatPr defaultRowHeight="12.75" x14ac:dyDescent="0.2"/>
  <cols>
    <col min="1" max="1" width="19.7109375" style="9" customWidth="1"/>
    <col min="2" max="2" width="4.42578125" style="18" customWidth="1"/>
    <col min="3" max="3" width="12.7109375" style="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7" t="s">
        <v>61</v>
      </c>
      <c r="I1" s="58" t="s">
        <v>62</v>
      </c>
      <c r="J1" s="59" t="s">
        <v>63</v>
      </c>
    </row>
    <row r="2" spans="1:16" x14ac:dyDescent="0.2">
      <c r="I2" s="60" t="s">
        <v>64</v>
      </c>
      <c r="J2" s="61" t="s">
        <v>65</v>
      </c>
    </row>
    <row r="3" spans="1:16" x14ac:dyDescent="0.2">
      <c r="A3" s="62" t="s">
        <v>66</v>
      </c>
      <c r="I3" s="60" t="s">
        <v>67</v>
      </c>
      <c r="J3" s="61" t="s">
        <v>68</v>
      </c>
    </row>
    <row r="4" spans="1:16" x14ac:dyDescent="0.2">
      <c r="I4" s="60" t="s">
        <v>69</v>
      </c>
      <c r="J4" s="61" t="s">
        <v>68</v>
      </c>
    </row>
    <row r="5" spans="1:16" ht="13.5" thickBot="1" x14ac:dyDescent="0.25">
      <c r="I5" s="63" t="s">
        <v>70</v>
      </c>
      <c r="J5" s="64" t="s">
        <v>71</v>
      </c>
    </row>
    <row r="10" spans="1:16" ht="13.5" thickBot="1" x14ac:dyDescent="0.25"/>
    <row r="11" spans="1:16" ht="12.75" customHeight="1" thickBot="1" x14ac:dyDescent="0.25">
      <c r="A11" s="9" t="str">
        <f t="shared" ref="A11:A25" si="0">P11</f>
        <v>BAVM 178 </v>
      </c>
      <c r="B11" s="22" t="str">
        <f t="shared" ref="B11:B25" si="1">IF(H11=INT(H11),"I","II")</f>
        <v>II</v>
      </c>
      <c r="C11" s="9">
        <f t="shared" ref="C11:C25" si="2">1*G11</f>
        <v>53654.564700000003</v>
      </c>
      <c r="D11" s="18" t="str">
        <f t="shared" ref="D11:D25" si="3">VLOOKUP(F11,I$1:J$5,2,FALSE)</f>
        <v>vis</v>
      </c>
      <c r="E11" s="65">
        <f>VLOOKUP(C11,Active!C$21:E$973,3,FALSE)</f>
        <v>0</v>
      </c>
      <c r="F11" s="22" t="s">
        <v>70</v>
      </c>
      <c r="G11" s="18" t="str">
        <f t="shared" ref="G11:G25" si="4">MID(I11,3,LEN(I11)-3)</f>
        <v>53654.5647</v>
      </c>
      <c r="H11" s="9">
        <f t="shared" ref="H11:H25" si="5">1*K11</f>
        <v>26205.5</v>
      </c>
      <c r="I11" s="66" t="s">
        <v>83</v>
      </c>
      <c r="J11" s="67" t="s">
        <v>84</v>
      </c>
      <c r="K11" s="66">
        <v>26205.5</v>
      </c>
      <c r="L11" s="66" t="s">
        <v>85</v>
      </c>
      <c r="M11" s="67" t="s">
        <v>86</v>
      </c>
      <c r="N11" s="67" t="s">
        <v>87</v>
      </c>
      <c r="O11" s="68" t="s">
        <v>88</v>
      </c>
      <c r="P11" s="69" t="s">
        <v>89</v>
      </c>
    </row>
    <row r="12" spans="1:16" ht="12.75" customHeight="1" thickBot="1" x14ac:dyDescent="0.25">
      <c r="A12" s="9" t="str">
        <f t="shared" si="0"/>
        <v>IBVS 5713 </v>
      </c>
      <c r="B12" s="22" t="str">
        <f t="shared" si="1"/>
        <v>II</v>
      </c>
      <c r="C12" s="9">
        <f t="shared" si="2"/>
        <v>53670.245999999999</v>
      </c>
      <c r="D12" s="18" t="str">
        <f t="shared" si="3"/>
        <v>vis</v>
      </c>
      <c r="E12" s="65">
        <f>VLOOKUP(C12,Active!C$21:E$973,3,FALSE)</f>
        <v>15.988160769648417</v>
      </c>
      <c r="F12" s="22" t="s">
        <v>70</v>
      </c>
      <c r="G12" s="18" t="str">
        <f t="shared" si="4"/>
        <v>53670.246</v>
      </c>
      <c r="H12" s="9">
        <f t="shared" si="5"/>
        <v>26221.5</v>
      </c>
      <c r="I12" s="66" t="s">
        <v>90</v>
      </c>
      <c r="J12" s="67" t="s">
        <v>91</v>
      </c>
      <c r="K12" s="66" t="s">
        <v>92</v>
      </c>
      <c r="L12" s="66" t="s">
        <v>93</v>
      </c>
      <c r="M12" s="67" t="s">
        <v>75</v>
      </c>
      <c r="N12" s="67" t="s">
        <v>76</v>
      </c>
      <c r="O12" s="68" t="s">
        <v>77</v>
      </c>
      <c r="P12" s="69" t="s">
        <v>94</v>
      </c>
    </row>
    <row r="13" spans="1:16" ht="12.75" customHeight="1" thickBot="1" x14ac:dyDescent="0.25">
      <c r="A13" s="9" t="str">
        <f t="shared" si="0"/>
        <v>BAVM 183 </v>
      </c>
      <c r="B13" s="22" t="str">
        <f t="shared" si="1"/>
        <v>II</v>
      </c>
      <c r="C13" s="9">
        <f t="shared" si="2"/>
        <v>54019.423000000003</v>
      </c>
      <c r="D13" s="18" t="str">
        <f t="shared" si="3"/>
        <v>vis</v>
      </c>
      <c r="E13" s="65">
        <f>VLOOKUP(C13,Active!C$21:E$973,3,FALSE)</f>
        <v>371.99805874142402</v>
      </c>
      <c r="F13" s="22" t="s">
        <v>70</v>
      </c>
      <c r="G13" s="18" t="str">
        <f t="shared" si="4"/>
        <v>54019.4230</v>
      </c>
      <c r="H13" s="9">
        <f t="shared" si="5"/>
        <v>26577.5</v>
      </c>
      <c r="I13" s="66" t="s">
        <v>95</v>
      </c>
      <c r="J13" s="67" t="s">
        <v>96</v>
      </c>
      <c r="K13" s="66" t="s">
        <v>97</v>
      </c>
      <c r="L13" s="66" t="s">
        <v>98</v>
      </c>
      <c r="M13" s="67" t="s">
        <v>86</v>
      </c>
      <c r="N13" s="67" t="s">
        <v>87</v>
      </c>
      <c r="O13" s="68" t="s">
        <v>88</v>
      </c>
      <c r="P13" s="69" t="s">
        <v>99</v>
      </c>
    </row>
    <row r="14" spans="1:16" ht="12.75" customHeight="1" thickBot="1" x14ac:dyDescent="0.25">
      <c r="A14" s="9" t="str">
        <f t="shared" si="0"/>
        <v>IBVS 5871 </v>
      </c>
      <c r="B14" s="22" t="str">
        <f t="shared" si="1"/>
        <v>II</v>
      </c>
      <c r="C14" s="9">
        <f t="shared" si="2"/>
        <v>54768.761100000003</v>
      </c>
      <c r="D14" s="18" t="str">
        <f t="shared" si="3"/>
        <v>vis</v>
      </c>
      <c r="E14" s="65">
        <f>VLOOKUP(C14,Active!C$21:E$973,3,FALSE)</f>
        <v>1135.9996411118607</v>
      </c>
      <c r="F14" s="22" t="s">
        <v>70</v>
      </c>
      <c r="G14" s="18" t="str">
        <f t="shared" si="4"/>
        <v>54768.7611</v>
      </c>
      <c r="H14" s="9">
        <f t="shared" si="5"/>
        <v>27341.5</v>
      </c>
      <c r="I14" s="66" t="s">
        <v>105</v>
      </c>
      <c r="J14" s="67" t="s">
        <v>106</v>
      </c>
      <c r="K14" s="66" t="s">
        <v>107</v>
      </c>
      <c r="L14" s="66" t="s">
        <v>108</v>
      </c>
      <c r="M14" s="67" t="s">
        <v>86</v>
      </c>
      <c r="N14" s="67" t="s">
        <v>70</v>
      </c>
      <c r="O14" s="68" t="s">
        <v>77</v>
      </c>
      <c r="P14" s="69" t="s">
        <v>109</v>
      </c>
    </row>
    <row r="15" spans="1:16" ht="12.75" customHeight="1" thickBot="1" x14ac:dyDescent="0.25">
      <c r="A15" s="9" t="str">
        <f t="shared" si="0"/>
        <v>IBVS 5871 </v>
      </c>
      <c r="B15" s="22" t="str">
        <f t="shared" si="1"/>
        <v>I</v>
      </c>
      <c r="C15" s="9">
        <f t="shared" si="2"/>
        <v>54800.637999999999</v>
      </c>
      <c r="D15" s="18" t="str">
        <f t="shared" si="3"/>
        <v>vis</v>
      </c>
      <c r="E15" s="65">
        <f>VLOOKUP(C15,Active!C$21:E$973,3,FALSE)</f>
        <v>1168.5003267717261</v>
      </c>
      <c r="F15" s="22" t="s">
        <v>70</v>
      </c>
      <c r="G15" s="18" t="str">
        <f t="shared" si="4"/>
        <v>54800.638</v>
      </c>
      <c r="H15" s="9">
        <f t="shared" si="5"/>
        <v>27374</v>
      </c>
      <c r="I15" s="66" t="s">
        <v>110</v>
      </c>
      <c r="J15" s="67" t="s">
        <v>111</v>
      </c>
      <c r="K15" s="66" t="s">
        <v>112</v>
      </c>
      <c r="L15" s="66" t="s">
        <v>113</v>
      </c>
      <c r="M15" s="67" t="s">
        <v>86</v>
      </c>
      <c r="N15" s="67" t="s">
        <v>70</v>
      </c>
      <c r="O15" s="68" t="s">
        <v>77</v>
      </c>
      <c r="P15" s="69" t="s">
        <v>109</v>
      </c>
    </row>
    <row r="16" spans="1:16" ht="12.75" customHeight="1" thickBot="1" x14ac:dyDescent="0.25">
      <c r="A16" s="9" t="str">
        <f t="shared" si="0"/>
        <v>IBVS 5920 </v>
      </c>
      <c r="B16" s="22" t="str">
        <f t="shared" si="1"/>
        <v>I</v>
      </c>
      <c r="C16" s="9">
        <f t="shared" si="2"/>
        <v>55158.6342</v>
      </c>
      <c r="D16" s="18" t="str">
        <f t="shared" si="3"/>
        <v>vis</v>
      </c>
      <c r="E16" s="65">
        <f>VLOOKUP(C16,Active!C$21:E$973,3,FALSE)</f>
        <v>1533.5020039620413</v>
      </c>
      <c r="F16" s="22" t="s">
        <v>70</v>
      </c>
      <c r="G16" s="18" t="str">
        <f t="shared" si="4"/>
        <v>55158.6342</v>
      </c>
      <c r="H16" s="9">
        <f t="shared" si="5"/>
        <v>27739</v>
      </c>
      <c r="I16" s="66" t="s">
        <v>119</v>
      </c>
      <c r="J16" s="67" t="s">
        <v>120</v>
      </c>
      <c r="K16" s="66" t="s">
        <v>121</v>
      </c>
      <c r="L16" s="66" t="s">
        <v>122</v>
      </c>
      <c r="M16" s="67" t="s">
        <v>86</v>
      </c>
      <c r="N16" s="67" t="s">
        <v>70</v>
      </c>
      <c r="O16" s="68" t="s">
        <v>77</v>
      </c>
      <c r="P16" s="69" t="s">
        <v>123</v>
      </c>
    </row>
    <row r="17" spans="1:16" ht="12.75" customHeight="1" thickBot="1" x14ac:dyDescent="0.25">
      <c r="A17" s="9" t="str">
        <f t="shared" si="0"/>
        <v>IBVS 5960 </v>
      </c>
      <c r="B17" s="22" t="str">
        <f t="shared" si="1"/>
        <v>I</v>
      </c>
      <c r="C17" s="9">
        <f t="shared" si="2"/>
        <v>55511.7094</v>
      </c>
      <c r="D17" s="18" t="str">
        <f t="shared" si="3"/>
        <v>vis</v>
      </c>
      <c r="E17" s="65">
        <f>VLOOKUP(C17,Active!C$21:E$973,3,FALSE)</f>
        <v>1893.4863841713989</v>
      </c>
      <c r="F17" s="22" t="s">
        <v>70</v>
      </c>
      <c r="G17" s="18" t="str">
        <f t="shared" si="4"/>
        <v>55511.7094</v>
      </c>
      <c r="H17" s="9">
        <f t="shared" si="5"/>
        <v>28099</v>
      </c>
      <c r="I17" s="66" t="s">
        <v>124</v>
      </c>
      <c r="J17" s="67" t="s">
        <v>125</v>
      </c>
      <c r="K17" s="66" t="s">
        <v>126</v>
      </c>
      <c r="L17" s="66" t="s">
        <v>127</v>
      </c>
      <c r="M17" s="67" t="s">
        <v>86</v>
      </c>
      <c r="N17" s="67" t="s">
        <v>70</v>
      </c>
      <c r="O17" s="68" t="s">
        <v>77</v>
      </c>
      <c r="P17" s="69" t="s">
        <v>128</v>
      </c>
    </row>
    <row r="18" spans="1:16" ht="12.75" customHeight="1" thickBot="1" x14ac:dyDescent="0.25">
      <c r="A18" s="9" t="str">
        <f t="shared" si="0"/>
        <v>BAVM 215 </v>
      </c>
      <c r="B18" s="22" t="str">
        <f t="shared" si="1"/>
        <v>I</v>
      </c>
      <c r="C18" s="9">
        <f t="shared" si="2"/>
        <v>55514.653100000003</v>
      </c>
      <c r="D18" s="18" t="str">
        <f t="shared" si="3"/>
        <v>vis</v>
      </c>
      <c r="E18" s="65">
        <f>VLOOKUP(C18,Active!C$21:E$973,3,FALSE)</f>
        <v>1896.4876881996158</v>
      </c>
      <c r="F18" s="22" t="s">
        <v>70</v>
      </c>
      <c r="G18" s="18" t="str">
        <f t="shared" si="4"/>
        <v>55514.6531</v>
      </c>
      <c r="H18" s="9">
        <f t="shared" si="5"/>
        <v>28102</v>
      </c>
      <c r="I18" s="66" t="s">
        <v>129</v>
      </c>
      <c r="J18" s="67" t="s">
        <v>130</v>
      </c>
      <c r="K18" s="66" t="s">
        <v>131</v>
      </c>
      <c r="L18" s="66" t="s">
        <v>132</v>
      </c>
      <c r="M18" s="67" t="s">
        <v>86</v>
      </c>
      <c r="N18" s="67" t="s">
        <v>87</v>
      </c>
      <c r="O18" s="68" t="s">
        <v>88</v>
      </c>
      <c r="P18" s="69" t="s">
        <v>133</v>
      </c>
    </row>
    <row r="19" spans="1:16" ht="12.75" customHeight="1" thickBot="1" x14ac:dyDescent="0.25">
      <c r="A19" s="9" t="str">
        <f t="shared" si="0"/>
        <v>BAVM 220 </v>
      </c>
      <c r="B19" s="22" t="str">
        <f t="shared" si="1"/>
        <v>I</v>
      </c>
      <c r="C19" s="9">
        <f t="shared" si="2"/>
        <v>55776.536</v>
      </c>
      <c r="D19" s="18" t="str">
        <f t="shared" si="3"/>
        <v>vis</v>
      </c>
      <c r="E19" s="65">
        <f>VLOOKUP(C19,Active!C$21:E$973,3,FALSE)</f>
        <v>2163.495264613729</v>
      </c>
      <c r="F19" s="22" t="s">
        <v>70</v>
      </c>
      <c r="G19" s="18" t="str">
        <f t="shared" si="4"/>
        <v>55776.5360</v>
      </c>
      <c r="H19" s="9">
        <f t="shared" si="5"/>
        <v>28369</v>
      </c>
      <c r="I19" s="66" t="s">
        <v>134</v>
      </c>
      <c r="J19" s="67" t="s">
        <v>135</v>
      </c>
      <c r="K19" s="66" t="s">
        <v>136</v>
      </c>
      <c r="L19" s="66" t="s">
        <v>137</v>
      </c>
      <c r="M19" s="67" t="s">
        <v>86</v>
      </c>
      <c r="N19" s="67" t="s">
        <v>87</v>
      </c>
      <c r="O19" s="68" t="s">
        <v>88</v>
      </c>
      <c r="P19" s="69" t="s">
        <v>138</v>
      </c>
    </row>
    <row r="20" spans="1:16" ht="12.75" customHeight="1" thickBot="1" x14ac:dyDescent="0.25">
      <c r="A20" s="9" t="str">
        <f t="shared" si="0"/>
        <v>IBVS 6042 </v>
      </c>
      <c r="B20" s="22" t="str">
        <f t="shared" si="1"/>
        <v>II</v>
      </c>
      <c r="C20" s="9">
        <f t="shared" si="2"/>
        <v>56254.671600000001</v>
      </c>
      <c r="D20" s="18" t="str">
        <f t="shared" si="3"/>
        <v>vis</v>
      </c>
      <c r="E20" s="65">
        <f>VLOOKUP(C20,Active!C$21:E$973,3,FALSE)</f>
        <v>2650.9872992342011</v>
      </c>
      <c r="F20" s="22" t="s">
        <v>70</v>
      </c>
      <c r="G20" s="18" t="str">
        <f t="shared" si="4"/>
        <v>56254.6716</v>
      </c>
      <c r="H20" s="9">
        <f t="shared" si="5"/>
        <v>28856.5</v>
      </c>
      <c r="I20" s="66" t="s">
        <v>144</v>
      </c>
      <c r="J20" s="67" t="s">
        <v>145</v>
      </c>
      <c r="K20" s="66" t="s">
        <v>146</v>
      </c>
      <c r="L20" s="66" t="s">
        <v>147</v>
      </c>
      <c r="M20" s="67" t="s">
        <v>86</v>
      </c>
      <c r="N20" s="67" t="s">
        <v>70</v>
      </c>
      <c r="O20" s="68" t="s">
        <v>77</v>
      </c>
      <c r="P20" s="69" t="s">
        <v>148</v>
      </c>
    </row>
    <row r="21" spans="1:16" ht="12.75" customHeight="1" thickBot="1" x14ac:dyDescent="0.25">
      <c r="A21" s="9" t="str">
        <f t="shared" si="0"/>
        <v> BBS 122 </v>
      </c>
      <c r="B21" s="22" t="str">
        <f t="shared" si="1"/>
        <v>II</v>
      </c>
      <c r="C21" s="9">
        <f t="shared" si="2"/>
        <v>51575.216999999997</v>
      </c>
      <c r="D21" s="18" t="str">
        <f t="shared" si="3"/>
        <v>vis</v>
      </c>
      <c r="E21" s="65">
        <f>VLOOKUP(C21,Active!C$21:E$973,3,FALSE)</f>
        <v>-2120.0375812978555</v>
      </c>
      <c r="F21" s="22" t="s">
        <v>70</v>
      </c>
      <c r="G21" s="18" t="str">
        <f t="shared" si="4"/>
        <v>51575.217</v>
      </c>
      <c r="H21" s="9">
        <f t="shared" si="5"/>
        <v>24085.5</v>
      </c>
      <c r="I21" s="66" t="s">
        <v>72</v>
      </c>
      <c r="J21" s="67" t="s">
        <v>73</v>
      </c>
      <c r="K21" s="66">
        <v>24085.5</v>
      </c>
      <c r="L21" s="66" t="s">
        <v>74</v>
      </c>
      <c r="M21" s="67" t="s">
        <v>75</v>
      </c>
      <c r="N21" s="67" t="s">
        <v>76</v>
      </c>
      <c r="O21" s="68" t="s">
        <v>77</v>
      </c>
      <c r="P21" s="68" t="s">
        <v>78</v>
      </c>
    </row>
    <row r="22" spans="1:16" ht="12.75" customHeight="1" thickBot="1" x14ac:dyDescent="0.25">
      <c r="A22" s="9" t="str">
        <f t="shared" si="0"/>
        <v> BBS 124 </v>
      </c>
      <c r="B22" s="22" t="str">
        <f t="shared" si="1"/>
        <v>II</v>
      </c>
      <c r="C22" s="9">
        <f t="shared" si="2"/>
        <v>51879.316599999998</v>
      </c>
      <c r="D22" s="18" t="str">
        <f t="shared" si="3"/>
        <v>vis</v>
      </c>
      <c r="E22" s="65">
        <f>VLOOKUP(C22,Active!C$21:E$973,3,FALSE)</f>
        <v>-1809.9871840229571</v>
      </c>
      <c r="F22" s="22" t="s">
        <v>70</v>
      </c>
      <c r="G22" s="18" t="str">
        <f t="shared" si="4"/>
        <v>51879.3166</v>
      </c>
      <c r="H22" s="9">
        <f t="shared" si="5"/>
        <v>24395.5</v>
      </c>
      <c r="I22" s="66" t="s">
        <v>79</v>
      </c>
      <c r="J22" s="67" t="s">
        <v>80</v>
      </c>
      <c r="K22" s="66">
        <v>24395.5</v>
      </c>
      <c r="L22" s="66" t="s">
        <v>81</v>
      </c>
      <c r="M22" s="67" t="s">
        <v>75</v>
      </c>
      <c r="N22" s="67" t="s">
        <v>76</v>
      </c>
      <c r="O22" s="68" t="s">
        <v>77</v>
      </c>
      <c r="P22" s="68" t="s">
        <v>82</v>
      </c>
    </row>
    <row r="23" spans="1:16" ht="12.75" customHeight="1" thickBot="1" x14ac:dyDescent="0.25">
      <c r="A23" s="9" t="str">
        <f t="shared" si="0"/>
        <v>BAVM 193 </v>
      </c>
      <c r="B23" s="22" t="str">
        <f t="shared" si="1"/>
        <v>II</v>
      </c>
      <c r="C23" s="9">
        <f t="shared" si="2"/>
        <v>54374.4781</v>
      </c>
      <c r="D23" s="18" t="str">
        <f t="shared" si="3"/>
        <v>vis</v>
      </c>
      <c r="E23" s="65">
        <f>VLOOKUP(C23,Active!C$21:E$973,3,FALSE)</f>
        <v>734.00108278182927</v>
      </c>
      <c r="F23" s="22" t="s">
        <v>70</v>
      </c>
      <c r="G23" s="18" t="str">
        <f t="shared" si="4"/>
        <v>54374.4781</v>
      </c>
      <c r="H23" s="9">
        <f t="shared" si="5"/>
        <v>26939.5</v>
      </c>
      <c r="I23" s="66" t="s">
        <v>100</v>
      </c>
      <c r="J23" s="67" t="s">
        <v>101</v>
      </c>
      <c r="K23" s="66" t="s">
        <v>102</v>
      </c>
      <c r="L23" s="66" t="s">
        <v>103</v>
      </c>
      <c r="M23" s="67" t="s">
        <v>86</v>
      </c>
      <c r="N23" s="67" t="s">
        <v>87</v>
      </c>
      <c r="O23" s="68" t="s">
        <v>88</v>
      </c>
      <c r="P23" s="69" t="s">
        <v>104</v>
      </c>
    </row>
    <row r="24" spans="1:16" ht="12.75" customHeight="1" thickBot="1" x14ac:dyDescent="0.25">
      <c r="A24" s="9" t="str">
        <f t="shared" si="0"/>
        <v>BAVM 212 </v>
      </c>
      <c r="B24" s="22" t="str">
        <f t="shared" si="1"/>
        <v>I</v>
      </c>
      <c r="C24" s="9">
        <f t="shared" si="2"/>
        <v>55063.497100000001</v>
      </c>
      <c r="D24" s="18" t="str">
        <f t="shared" si="3"/>
        <v>vis</v>
      </c>
      <c r="E24" s="65">
        <f>VLOOKUP(C24,Active!C$21:E$973,3,FALSE)</f>
        <v>1436.503206033397</v>
      </c>
      <c r="F24" s="22" t="s">
        <v>70</v>
      </c>
      <c r="G24" s="18" t="str">
        <f t="shared" si="4"/>
        <v>55063.4971</v>
      </c>
      <c r="H24" s="9">
        <f t="shared" si="5"/>
        <v>27642</v>
      </c>
      <c r="I24" s="66" t="s">
        <v>114</v>
      </c>
      <c r="J24" s="67" t="s">
        <v>115</v>
      </c>
      <c r="K24" s="66" t="s">
        <v>116</v>
      </c>
      <c r="L24" s="66" t="s">
        <v>117</v>
      </c>
      <c r="M24" s="67" t="s">
        <v>86</v>
      </c>
      <c r="N24" s="67" t="s">
        <v>87</v>
      </c>
      <c r="O24" s="68" t="s">
        <v>88</v>
      </c>
      <c r="P24" s="69" t="s">
        <v>118</v>
      </c>
    </row>
    <row r="25" spans="1:16" ht="12.75" customHeight="1" thickBot="1" x14ac:dyDescent="0.25">
      <c r="A25" s="9" t="str">
        <f t="shared" si="0"/>
        <v>BAVM 225 </v>
      </c>
      <c r="B25" s="22" t="str">
        <f t="shared" si="1"/>
        <v>II</v>
      </c>
      <c r="C25" s="9">
        <f t="shared" si="2"/>
        <v>55856.473700000002</v>
      </c>
      <c r="D25" s="18" t="str">
        <f t="shared" si="3"/>
        <v>vis</v>
      </c>
      <c r="E25" s="65">
        <f>VLOOKUP(C25,Active!C$21:E$973,3,FALSE)</f>
        <v>2244.9972318713058</v>
      </c>
      <c r="F25" s="22" t="s">
        <v>70</v>
      </c>
      <c r="G25" s="18" t="str">
        <f t="shared" si="4"/>
        <v>55856.4737</v>
      </c>
      <c r="H25" s="9">
        <f t="shared" si="5"/>
        <v>28450.5</v>
      </c>
      <c r="I25" s="66" t="s">
        <v>139</v>
      </c>
      <c r="J25" s="67" t="s">
        <v>140</v>
      </c>
      <c r="K25" s="66" t="s">
        <v>141</v>
      </c>
      <c r="L25" s="66" t="s">
        <v>142</v>
      </c>
      <c r="M25" s="67" t="s">
        <v>86</v>
      </c>
      <c r="N25" s="67" t="s">
        <v>87</v>
      </c>
      <c r="O25" s="68" t="s">
        <v>88</v>
      </c>
      <c r="P25" s="69" t="s">
        <v>143</v>
      </c>
    </row>
    <row r="26" spans="1:16" x14ac:dyDescent="0.2">
      <c r="B26" s="22"/>
      <c r="F26" s="22"/>
    </row>
    <row r="27" spans="1:16" x14ac:dyDescent="0.2">
      <c r="B27" s="22"/>
      <c r="F27" s="22"/>
    </row>
    <row r="28" spans="1:16" x14ac:dyDescent="0.2">
      <c r="B28" s="22"/>
      <c r="F28" s="22"/>
    </row>
    <row r="29" spans="1:16" x14ac:dyDescent="0.2">
      <c r="B29" s="22"/>
      <c r="F29" s="22"/>
    </row>
    <row r="30" spans="1:16" x14ac:dyDescent="0.2">
      <c r="B30" s="22"/>
      <c r="F30" s="22"/>
    </row>
    <row r="31" spans="1:16" x14ac:dyDescent="0.2">
      <c r="B31" s="22"/>
      <c r="F31" s="22"/>
    </row>
    <row r="32" spans="1:16" x14ac:dyDescent="0.2">
      <c r="B32" s="22"/>
      <c r="F32" s="22"/>
    </row>
    <row r="33" spans="2:6" x14ac:dyDescent="0.2">
      <c r="B33" s="22"/>
      <c r="F33" s="22"/>
    </row>
    <row r="34" spans="2:6" x14ac:dyDescent="0.2">
      <c r="B34" s="22"/>
      <c r="F34" s="22"/>
    </row>
    <row r="35" spans="2:6" x14ac:dyDescent="0.2">
      <c r="B35" s="22"/>
      <c r="F35" s="22"/>
    </row>
    <row r="36" spans="2:6" x14ac:dyDescent="0.2">
      <c r="B36" s="22"/>
      <c r="F36" s="22"/>
    </row>
    <row r="37" spans="2:6" x14ac:dyDescent="0.2">
      <c r="B37" s="22"/>
      <c r="F37" s="22"/>
    </row>
    <row r="38" spans="2:6" x14ac:dyDescent="0.2">
      <c r="B38" s="22"/>
      <c r="F38" s="22"/>
    </row>
    <row r="39" spans="2:6" x14ac:dyDescent="0.2">
      <c r="B39" s="22"/>
      <c r="F39" s="22"/>
    </row>
    <row r="40" spans="2:6" x14ac:dyDescent="0.2">
      <c r="B40" s="22"/>
      <c r="F40" s="22"/>
    </row>
    <row r="41" spans="2:6" x14ac:dyDescent="0.2">
      <c r="B41" s="22"/>
      <c r="F41" s="22"/>
    </row>
    <row r="42" spans="2:6" x14ac:dyDescent="0.2">
      <c r="B42" s="22"/>
      <c r="F42" s="22"/>
    </row>
    <row r="43" spans="2:6" x14ac:dyDescent="0.2">
      <c r="B43" s="22"/>
      <c r="F43" s="22"/>
    </row>
    <row r="44" spans="2:6" x14ac:dyDescent="0.2">
      <c r="B44" s="22"/>
      <c r="F44" s="22"/>
    </row>
    <row r="45" spans="2:6" x14ac:dyDescent="0.2">
      <c r="B45" s="22"/>
      <c r="F45" s="22"/>
    </row>
    <row r="46" spans="2:6" x14ac:dyDescent="0.2">
      <c r="B46" s="22"/>
      <c r="F46" s="22"/>
    </row>
    <row r="47" spans="2:6" x14ac:dyDescent="0.2">
      <c r="B47" s="22"/>
      <c r="F47" s="22"/>
    </row>
    <row r="48" spans="2:6" x14ac:dyDescent="0.2">
      <c r="B48" s="22"/>
      <c r="F48" s="22"/>
    </row>
    <row r="49" spans="2:6" x14ac:dyDescent="0.2">
      <c r="B49" s="22"/>
      <c r="F49" s="22"/>
    </row>
    <row r="50" spans="2:6" x14ac:dyDescent="0.2">
      <c r="B50" s="22"/>
      <c r="F50" s="22"/>
    </row>
    <row r="51" spans="2:6" x14ac:dyDescent="0.2">
      <c r="B51" s="22"/>
      <c r="F51" s="22"/>
    </row>
    <row r="52" spans="2:6" x14ac:dyDescent="0.2">
      <c r="B52" s="22"/>
      <c r="F52" s="22"/>
    </row>
    <row r="53" spans="2:6" x14ac:dyDescent="0.2">
      <c r="B53" s="22"/>
      <c r="F53" s="22"/>
    </row>
    <row r="54" spans="2:6" x14ac:dyDescent="0.2">
      <c r="B54" s="22"/>
      <c r="F54" s="22"/>
    </row>
    <row r="55" spans="2:6" x14ac:dyDescent="0.2">
      <c r="B55" s="22"/>
      <c r="F55" s="22"/>
    </row>
    <row r="56" spans="2:6" x14ac:dyDescent="0.2">
      <c r="B56" s="22"/>
      <c r="F56" s="22"/>
    </row>
    <row r="57" spans="2:6" x14ac:dyDescent="0.2">
      <c r="B57" s="22"/>
      <c r="F57" s="22"/>
    </row>
    <row r="58" spans="2:6" x14ac:dyDescent="0.2">
      <c r="B58" s="22"/>
      <c r="F58" s="22"/>
    </row>
    <row r="59" spans="2:6" x14ac:dyDescent="0.2">
      <c r="B59" s="22"/>
      <c r="F59" s="22"/>
    </row>
    <row r="60" spans="2:6" x14ac:dyDescent="0.2">
      <c r="B60" s="22"/>
      <c r="F60" s="22"/>
    </row>
    <row r="61" spans="2:6" x14ac:dyDescent="0.2">
      <c r="B61" s="22"/>
      <c r="F61" s="22"/>
    </row>
    <row r="62" spans="2:6" x14ac:dyDescent="0.2">
      <c r="B62" s="22"/>
      <c r="F62" s="22"/>
    </row>
    <row r="63" spans="2:6" x14ac:dyDescent="0.2">
      <c r="B63" s="22"/>
      <c r="F63" s="22"/>
    </row>
    <row r="64" spans="2: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</sheetData>
  <phoneticPr fontId="8" type="noConversion"/>
  <hyperlinks>
    <hyperlink ref="P11" r:id="rId1" display="http://www.bav-astro.de/sfs/BAVM_link.php?BAVMnr=178" xr:uid="{00000000-0004-0000-0200-000000000000}"/>
    <hyperlink ref="P12" r:id="rId2" display="http://www.konkoly.hu/cgi-bin/IBVS?5713" xr:uid="{00000000-0004-0000-0200-000001000000}"/>
    <hyperlink ref="P13" r:id="rId3" display="http://www.bav-astro.de/sfs/BAVM_link.php?BAVMnr=183" xr:uid="{00000000-0004-0000-0200-000002000000}"/>
    <hyperlink ref="P23" r:id="rId4" display="http://www.bav-astro.de/sfs/BAVM_link.php?BAVMnr=193" xr:uid="{00000000-0004-0000-0200-000003000000}"/>
    <hyperlink ref="P14" r:id="rId5" display="http://www.konkoly.hu/cgi-bin/IBVS?5871" xr:uid="{00000000-0004-0000-0200-000004000000}"/>
    <hyperlink ref="P15" r:id="rId6" display="http://www.konkoly.hu/cgi-bin/IBVS?5871" xr:uid="{00000000-0004-0000-0200-000005000000}"/>
    <hyperlink ref="P24" r:id="rId7" display="http://www.bav-astro.de/sfs/BAVM_link.php?BAVMnr=212" xr:uid="{00000000-0004-0000-0200-000006000000}"/>
    <hyperlink ref="P16" r:id="rId8" display="http://www.konkoly.hu/cgi-bin/IBVS?5920" xr:uid="{00000000-0004-0000-0200-000007000000}"/>
    <hyperlink ref="P17" r:id="rId9" display="http://www.konkoly.hu/cgi-bin/IBVS?5960" xr:uid="{00000000-0004-0000-0200-000008000000}"/>
    <hyperlink ref="P18" r:id="rId10" display="http://www.bav-astro.de/sfs/BAVM_link.php?BAVMnr=215" xr:uid="{00000000-0004-0000-0200-000009000000}"/>
    <hyperlink ref="P19" r:id="rId11" display="http://www.bav-astro.de/sfs/BAVM_link.php?BAVMnr=220" xr:uid="{00000000-0004-0000-0200-00000A000000}"/>
    <hyperlink ref="P25" r:id="rId12" display="http://www.bav-astro.de/sfs/BAVM_link.php?BAVMnr=225" xr:uid="{00000000-0004-0000-0200-00000B000000}"/>
    <hyperlink ref="P20" r:id="rId13" display="http://www.konkoly.hu/cgi-bin/IBVS?6042" xr:uid="{00000000-0004-0000-0200-00000C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936"/>
  <sheetViews>
    <sheetView workbookViewId="0">
      <selection activeCell="A30" sqref="A30:D34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C1" s="19" t="s">
        <v>39</v>
      </c>
    </row>
    <row r="2" spans="1:7" x14ac:dyDescent="0.2">
      <c r="A2" t="s">
        <v>25</v>
      </c>
      <c r="B2" s="18" t="s">
        <v>38</v>
      </c>
      <c r="C2" s="13"/>
    </row>
    <row r="3" spans="1:7" ht="13.5" thickBot="1" x14ac:dyDescent="0.25">
      <c r="C3" s="14"/>
    </row>
    <row r="4" spans="1:7" ht="14.25" thickTop="1" thickBot="1" x14ac:dyDescent="0.25">
      <c r="A4" s="4" t="s">
        <v>0</v>
      </c>
      <c r="C4" s="37">
        <v>27951.526000000002</v>
      </c>
      <c r="D4" s="38">
        <v>0.98082069999999999</v>
      </c>
    </row>
    <row r="6" spans="1:7" x14ac:dyDescent="0.2">
      <c r="A6" s="4" t="s">
        <v>1</v>
      </c>
    </row>
    <row r="7" spans="1:7" x14ac:dyDescent="0.2">
      <c r="A7" t="s">
        <v>2</v>
      </c>
      <c r="C7">
        <v>53654.564700000003</v>
      </c>
      <c r="D7" s="49" t="s">
        <v>50</v>
      </c>
    </row>
    <row r="8" spans="1:7" x14ac:dyDescent="0.2">
      <c r="A8" t="s">
        <v>3</v>
      </c>
      <c r="C8">
        <v>0.52272700000000005</v>
      </c>
      <c r="D8" s="50" t="s">
        <v>51</v>
      </c>
    </row>
    <row r="9" spans="1:7" x14ac:dyDescent="0.2">
      <c r="A9" s="20" t="s">
        <v>40</v>
      </c>
      <c r="B9" s="18"/>
      <c r="C9" s="21">
        <v>8</v>
      </c>
      <c r="D9" s="18" t="s">
        <v>41</v>
      </c>
      <c r="E9" s="18"/>
    </row>
    <row r="10" spans="1:7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7" x14ac:dyDescent="0.2">
      <c r="A11" s="18" t="s">
        <v>16</v>
      </c>
      <c r="B11" s="18"/>
      <c r="C11" s="33">
        <f ca="1">INTERCEPT(INDIRECT($G$11):G988,INDIRECT($F$11):F988)</f>
        <v>1.7580726971716601E-2</v>
      </c>
      <c r="D11" s="22"/>
      <c r="E11" s="18"/>
      <c r="F11" s="34" t="str">
        <f>"F"&amp;E19</f>
        <v>F26</v>
      </c>
      <c r="G11" s="14" t="str">
        <f>"G"&amp;E19</f>
        <v>G26</v>
      </c>
    </row>
    <row r="12" spans="1:7" x14ac:dyDescent="0.2">
      <c r="A12" s="18" t="s">
        <v>17</v>
      </c>
      <c r="B12" s="18"/>
      <c r="C12" s="33">
        <f ca="1">SLOPE(INDIRECT($G$11):G988,INDIRECT($F$11):F988)</f>
        <v>-2.339447332126922E-5</v>
      </c>
      <c r="D12" s="22"/>
      <c r="E12" s="18"/>
    </row>
    <row r="13" spans="1:7" x14ac:dyDescent="0.2">
      <c r="A13" s="18" t="s">
        <v>20</v>
      </c>
      <c r="B13" s="18"/>
      <c r="C13" s="22" t="s">
        <v>14</v>
      </c>
      <c r="D13" s="25" t="s">
        <v>54</v>
      </c>
      <c r="E13" s="21">
        <v>1</v>
      </c>
    </row>
    <row r="14" spans="1:7" x14ac:dyDescent="0.2">
      <c r="A14" s="18"/>
      <c r="B14" s="18"/>
      <c r="C14" s="18"/>
      <c r="D14" s="25" t="s">
        <v>42</v>
      </c>
      <c r="E14" s="26">
        <f ca="1">NOW()+15018.5+$C$9/24</f>
        <v>60329.489544444448</v>
      </c>
    </row>
    <row r="15" spans="1:7" x14ac:dyDescent="0.2">
      <c r="A15" s="23" t="s">
        <v>18</v>
      </c>
      <c r="B15" s="18"/>
      <c r="C15" s="24">
        <f ca="1">(C7+C11)+(C8+C12)*INT(MAX(F21:F3529))</f>
        <v>55776.236215559758</v>
      </c>
      <c r="D15" s="25" t="s">
        <v>55</v>
      </c>
      <c r="E15" s="26">
        <f ca="1">ROUND(2*(E14-$C$7)/$C$8,0)/2+E13</f>
        <v>12770.5</v>
      </c>
    </row>
    <row r="16" spans="1:7" x14ac:dyDescent="0.2">
      <c r="A16" s="27" t="s">
        <v>4</v>
      </c>
      <c r="B16" s="18"/>
      <c r="C16" s="28">
        <f ca="1">+C8+C12</f>
        <v>0.52270360552667883</v>
      </c>
      <c r="D16" s="25" t="s">
        <v>43</v>
      </c>
      <c r="E16" s="14">
        <f ca="1">ROUND(2*(E14-$C$15)/$C$16,0)/2+E13</f>
        <v>8712</v>
      </c>
    </row>
    <row r="17" spans="1:18" ht="13.5" thickBot="1" x14ac:dyDescent="0.25">
      <c r="A17" s="25" t="s">
        <v>31</v>
      </c>
      <c r="B17" s="18"/>
      <c r="C17" s="18">
        <f>COUNT(C21:C2187)</f>
        <v>14</v>
      </c>
      <c r="D17" s="25" t="s">
        <v>44</v>
      </c>
      <c r="E17" s="29">
        <f ca="1">+$C$15+$C$16*E16-15018.5-$C$9/24</f>
        <v>45311.19669357485</v>
      </c>
    </row>
    <row r="18" spans="1:18" ht="14.25" thickTop="1" thickBot="1" x14ac:dyDescent="0.25">
      <c r="A18" s="27" t="s">
        <v>5</v>
      </c>
      <c r="B18" s="18"/>
      <c r="C18" s="30">
        <f ca="1">+C15</f>
        <v>55776.236215559758</v>
      </c>
      <c r="D18" s="31">
        <f ca="1">+C16</f>
        <v>0.52270360552667883</v>
      </c>
      <c r="E18" s="32" t="s">
        <v>45</v>
      </c>
      <c r="R18">
        <f ca="1">SQRT(SUM(R22:R26)/(COUNT(R22:R26)-1))</f>
        <v>2.6182249157831971E-2</v>
      </c>
    </row>
    <row r="19" spans="1:18" ht="13.5" thickTop="1" x14ac:dyDescent="0.2">
      <c r="A19" s="35" t="s">
        <v>48</v>
      </c>
      <c r="E19" s="36">
        <v>26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x14ac:dyDescent="0.2">
      <c r="A21" t="s">
        <v>12</v>
      </c>
      <c r="C21" s="9">
        <v>27951.526000000002</v>
      </c>
      <c r="D21" s="9" t="s">
        <v>14</v>
      </c>
      <c r="E21">
        <f t="shared" ref="E21:E29" si="0">+(C21-C$7)/C$8</f>
        <v>-49171.056210985844</v>
      </c>
      <c r="F21">
        <f t="shared" ref="F21:F29" si="1">ROUND(2*E21,0)/2</f>
        <v>-49171</v>
      </c>
      <c r="G21">
        <f t="shared" ref="G21:G29" si="2">+C21-(C$7+F21*C$8)</f>
        <v>-2.9382999997324077E-2</v>
      </c>
      <c r="H21" s="14">
        <f>G21</f>
        <v>-2.9382999997324077E-2</v>
      </c>
      <c r="O21">
        <f t="shared" ref="O21:O29" ca="1" si="3">+C$11+C$12*$F21</f>
        <v>1.1679103746518453</v>
      </c>
      <c r="Q21" s="2">
        <f t="shared" ref="Q21:Q29" si="4">+C21-15018.5</f>
        <v>12933.026000000002</v>
      </c>
    </row>
    <row r="22" spans="1:18" x14ac:dyDescent="0.2">
      <c r="A22" s="10" t="s">
        <v>32</v>
      </c>
      <c r="B22" s="11"/>
      <c r="C22" s="12">
        <v>53654.564700000003</v>
      </c>
      <c r="D22" s="12">
        <v>1.8E-3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ref="I22:I29" si="5">+G22</f>
        <v>0</v>
      </c>
      <c r="O22">
        <f t="shared" ca="1" si="3"/>
        <v>1.7580726971716601E-2</v>
      </c>
      <c r="Q22" s="2">
        <f t="shared" si="4"/>
        <v>38636.064700000003</v>
      </c>
      <c r="R22">
        <f t="shared" ref="R22:R29" ca="1" si="6">+(O22-G22)^2</f>
        <v>3.0908196085404358E-4</v>
      </c>
    </row>
    <row r="23" spans="1:18" x14ac:dyDescent="0.2">
      <c r="A23" s="15" t="s">
        <v>33</v>
      </c>
      <c r="B23" s="16" t="s">
        <v>34</v>
      </c>
      <c r="C23" s="17">
        <v>53670.245999999999</v>
      </c>
      <c r="D23" s="17">
        <v>8.0000000000000002E-3</v>
      </c>
      <c r="E23">
        <f t="shared" si="0"/>
        <v>29.999024347310456</v>
      </c>
      <c r="F23">
        <f t="shared" si="1"/>
        <v>30</v>
      </c>
      <c r="G23">
        <f t="shared" si="2"/>
        <v>-5.1000000530621037E-4</v>
      </c>
      <c r="I23">
        <f t="shared" si="5"/>
        <v>-5.1000000530621037E-4</v>
      </c>
      <c r="O23">
        <f t="shared" ca="1" si="3"/>
        <v>1.6878892772078526E-2</v>
      </c>
      <c r="Q23" s="2">
        <f t="shared" si="4"/>
        <v>38651.745999999999</v>
      </c>
      <c r="R23">
        <f t="shared" ca="1" si="6"/>
        <v>3.0237359202338305E-4</v>
      </c>
    </row>
    <row r="24" spans="1:18" x14ac:dyDescent="0.2">
      <c r="A24" s="10" t="s">
        <v>46</v>
      </c>
      <c r="B24" s="11" t="s">
        <v>47</v>
      </c>
      <c r="C24" s="12">
        <v>54019.423000000003</v>
      </c>
      <c r="D24" s="12">
        <v>2.0000000000000001E-4</v>
      </c>
      <c r="E24">
        <f t="shared" si="0"/>
        <v>697.99015547312433</v>
      </c>
      <c r="F24">
        <f t="shared" si="1"/>
        <v>698</v>
      </c>
      <c r="G24">
        <f t="shared" si="2"/>
        <v>-5.1460000031511299E-3</v>
      </c>
      <c r="I24">
        <f t="shared" si="5"/>
        <v>-5.1460000031511299E-3</v>
      </c>
      <c r="O24">
        <f t="shared" ca="1" si="3"/>
        <v>1.251384593470687E-3</v>
      </c>
      <c r="Q24" s="2">
        <f t="shared" si="4"/>
        <v>39000.923000000003</v>
      </c>
      <c r="R24">
        <f t="shared" ca="1" si="6"/>
        <v>4.092652967709409E-5</v>
      </c>
    </row>
    <row r="25" spans="1:18" x14ac:dyDescent="0.2">
      <c r="A25" s="12" t="s">
        <v>49</v>
      </c>
      <c r="B25" s="41" t="s">
        <v>34</v>
      </c>
      <c r="C25" s="12">
        <v>54768.761100000003</v>
      </c>
      <c r="D25" s="12">
        <v>5.9999999999999995E-4</v>
      </c>
      <c r="E25">
        <f t="shared" si="0"/>
        <v>2131.507268612489</v>
      </c>
      <c r="F25">
        <f t="shared" si="1"/>
        <v>2131.5</v>
      </c>
      <c r="G25">
        <f t="shared" si="2"/>
        <v>3.7995000020600855E-3</v>
      </c>
      <c r="I25">
        <f t="shared" si="5"/>
        <v>3.7995000020600855E-3</v>
      </c>
      <c r="O25">
        <f t="shared" ca="1" si="3"/>
        <v>-3.2284592912568744E-2</v>
      </c>
      <c r="Q25" s="2">
        <f t="shared" si="4"/>
        <v>39750.261100000003</v>
      </c>
      <c r="R25">
        <f t="shared" ca="1" si="6"/>
        <v>1.3020617614715665E-3</v>
      </c>
    </row>
    <row r="26" spans="1:18" x14ac:dyDescent="0.2">
      <c r="A26" s="12" t="s">
        <v>49</v>
      </c>
      <c r="B26" s="41" t="s">
        <v>47</v>
      </c>
      <c r="C26" s="12">
        <v>54800.637999999999</v>
      </c>
      <c r="D26" s="12">
        <v>2E-3</v>
      </c>
      <c r="E26">
        <f t="shared" si="0"/>
        <v>2192.4891960813125</v>
      </c>
      <c r="F26">
        <f t="shared" si="1"/>
        <v>2192.5</v>
      </c>
      <c r="G26">
        <f t="shared" si="2"/>
        <v>-5.6475000019418076E-3</v>
      </c>
      <c r="I26">
        <f t="shared" si="5"/>
        <v>-5.6475000019418076E-3</v>
      </c>
      <c r="O26">
        <f t="shared" ca="1" si="3"/>
        <v>-3.3711655785166161E-2</v>
      </c>
      <c r="Q26" s="2">
        <f t="shared" si="4"/>
        <v>39782.137999999999</v>
      </c>
      <c r="R26">
        <f t="shared" ca="1" si="6"/>
        <v>7.8759683982508491E-4</v>
      </c>
    </row>
    <row r="27" spans="1:18" x14ac:dyDescent="0.2">
      <c r="A27" s="42" t="s">
        <v>52</v>
      </c>
      <c r="B27" s="43" t="s">
        <v>47</v>
      </c>
      <c r="C27" s="42">
        <v>55158.6342</v>
      </c>
      <c r="D27" s="42">
        <v>5.0000000000000001E-4</v>
      </c>
      <c r="E27">
        <f t="shared" si="0"/>
        <v>2877.3518490531342</v>
      </c>
      <c r="F27">
        <f t="shared" si="1"/>
        <v>2877.5</v>
      </c>
      <c r="G27">
        <f t="shared" si="2"/>
        <v>-7.7442500005417969E-2</v>
      </c>
      <c r="I27">
        <f t="shared" si="5"/>
        <v>-7.7442500005417969E-2</v>
      </c>
      <c r="O27">
        <f t="shared" ca="1" si="3"/>
        <v>-4.9736870010235579E-2</v>
      </c>
      <c r="Q27" s="2">
        <f t="shared" si="4"/>
        <v>40140.1342</v>
      </c>
      <c r="R27">
        <f t="shared" ca="1" si="6"/>
        <v>7.6760193342995022E-4</v>
      </c>
    </row>
    <row r="28" spans="1:18" x14ac:dyDescent="0.2">
      <c r="A28" s="44" t="s">
        <v>53</v>
      </c>
      <c r="B28" s="45" t="s">
        <v>47</v>
      </c>
      <c r="C28" s="46">
        <v>55511.7094</v>
      </c>
      <c r="D28" s="46">
        <v>2.8E-3</v>
      </c>
      <c r="E28">
        <f t="shared" si="0"/>
        <v>3552.8004101567299</v>
      </c>
      <c r="F28">
        <f t="shared" si="1"/>
        <v>3553</v>
      </c>
      <c r="G28">
        <f t="shared" si="2"/>
        <v>-0.10433100000227569</v>
      </c>
      <c r="I28">
        <f t="shared" si="5"/>
        <v>-0.10433100000227569</v>
      </c>
      <c r="O28">
        <f t="shared" ca="1" si="3"/>
        <v>-6.5539836738752938E-2</v>
      </c>
      <c r="Q28" s="2">
        <f t="shared" si="4"/>
        <v>40493.2094</v>
      </c>
      <c r="R28">
        <f t="shared" ca="1" si="6"/>
        <v>1.5047543473372769E-3</v>
      </c>
    </row>
    <row r="29" spans="1:18" x14ac:dyDescent="0.2">
      <c r="A29" s="47" t="s">
        <v>56</v>
      </c>
      <c r="B29" s="48" t="s">
        <v>47</v>
      </c>
      <c r="C29" s="47">
        <v>55776.536</v>
      </c>
      <c r="D29" s="47" t="s">
        <v>57</v>
      </c>
      <c r="E29">
        <f t="shared" si="0"/>
        <v>4059.4254744828509</v>
      </c>
      <c r="F29">
        <f t="shared" si="1"/>
        <v>4059.5</v>
      </c>
      <c r="G29">
        <f t="shared" si="2"/>
        <v>-3.8956500000494998E-2</v>
      </c>
      <c r="I29">
        <f t="shared" si="5"/>
        <v>-3.8956500000494998E-2</v>
      </c>
      <c r="O29">
        <f t="shared" ca="1" si="3"/>
        <v>-7.7389137475975797E-2</v>
      </c>
      <c r="Q29" s="2">
        <f t="shared" si="4"/>
        <v>40758.036</v>
      </c>
      <c r="R29">
        <f t="shared" ca="1" si="6"/>
        <v>1.4770676233217311E-3</v>
      </c>
    </row>
    <row r="30" spans="1:18" x14ac:dyDescent="0.2">
      <c r="A30" s="70" t="s">
        <v>78</v>
      </c>
      <c r="B30" s="71" t="s">
        <v>34</v>
      </c>
      <c r="C30" s="70">
        <v>51575.216999999997</v>
      </c>
      <c r="D30" s="70" t="s">
        <v>71</v>
      </c>
    </row>
    <row r="31" spans="1:18" x14ac:dyDescent="0.2">
      <c r="A31" s="70" t="s">
        <v>82</v>
      </c>
      <c r="B31" s="71" t="s">
        <v>34</v>
      </c>
      <c r="C31" s="70">
        <v>51879.316599999998</v>
      </c>
      <c r="D31" s="70" t="s">
        <v>71</v>
      </c>
    </row>
    <row r="32" spans="1:18" x14ac:dyDescent="0.2">
      <c r="A32" s="70" t="s">
        <v>104</v>
      </c>
      <c r="B32" s="71" t="s">
        <v>34</v>
      </c>
      <c r="C32" s="70">
        <v>54374.4781</v>
      </c>
      <c r="D32" s="70" t="s">
        <v>71</v>
      </c>
    </row>
    <row r="33" spans="1:4" x14ac:dyDescent="0.2">
      <c r="A33" s="70" t="s">
        <v>118</v>
      </c>
      <c r="B33" s="71" t="s">
        <v>47</v>
      </c>
      <c r="C33" s="70">
        <v>55063.497100000001</v>
      </c>
      <c r="D33" s="70" t="s">
        <v>71</v>
      </c>
    </row>
    <row r="34" spans="1:4" x14ac:dyDescent="0.2">
      <c r="A34" s="70" t="s">
        <v>143</v>
      </c>
      <c r="B34" s="71" t="s">
        <v>34</v>
      </c>
      <c r="C34" s="70">
        <v>55856.473700000002</v>
      </c>
      <c r="D34" s="70" t="s">
        <v>71</v>
      </c>
    </row>
    <row r="35" spans="1:4" x14ac:dyDescent="0.2">
      <c r="C35" s="9"/>
      <c r="D35" s="9"/>
    </row>
    <row r="36" spans="1:4" x14ac:dyDescent="0.2">
      <c r="C36" s="9"/>
      <c r="D36" s="9"/>
    </row>
    <row r="37" spans="1:4" x14ac:dyDescent="0.2">
      <c r="C37" s="9"/>
      <c r="D37" s="9"/>
    </row>
    <row r="38" spans="1:4" x14ac:dyDescent="0.2">
      <c r="C38" s="9"/>
      <c r="D38" s="9"/>
    </row>
    <row r="39" spans="1:4" x14ac:dyDescent="0.2">
      <c r="C39" s="9"/>
      <c r="D39" s="9"/>
    </row>
    <row r="40" spans="1:4" x14ac:dyDescent="0.2">
      <c r="C40" s="9"/>
      <c r="D40" s="9"/>
    </row>
    <row r="41" spans="1:4" x14ac:dyDescent="0.2">
      <c r="C41" s="9"/>
      <c r="D41" s="9"/>
    </row>
    <row r="42" spans="1:4" x14ac:dyDescent="0.2">
      <c r="C42" s="9"/>
      <c r="D42" s="9"/>
    </row>
    <row r="43" spans="1:4" x14ac:dyDescent="0.2">
      <c r="C43" s="9"/>
      <c r="D43" s="9"/>
    </row>
    <row r="44" spans="1:4" x14ac:dyDescent="0.2">
      <c r="C44" s="9"/>
      <c r="D44" s="9"/>
    </row>
    <row r="45" spans="1:4" x14ac:dyDescent="0.2">
      <c r="C45" s="9"/>
      <c r="D45" s="9"/>
    </row>
    <row r="46" spans="1:4" x14ac:dyDescent="0.2">
      <c r="C46" s="9"/>
      <c r="D46" s="9"/>
    </row>
    <row r="47" spans="1:4" x14ac:dyDescent="0.2">
      <c r="C47" s="9"/>
      <c r="D47" s="9"/>
    </row>
    <row r="48" spans="1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A (old)</vt:lpstr>
      <vt:lpstr>A (2)</vt:lpstr>
      <vt:lpstr>BAV</vt:lpstr>
      <vt:lpstr>A (3)</vt:lpstr>
      <vt:lpstr>'A (2)'!lab_basic1</vt:lpstr>
      <vt:lpstr>'A (3)'!lab_basic1</vt:lpstr>
      <vt:lpstr>'A (old)'!lab_basic1</vt:lpstr>
      <vt:lpstr>Active!lab_basic1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2024-01-19T05:14:56Z</dcterms:modified>
</cp:coreProperties>
</file>