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57ABBF5-C21A-4060-9AA8-66C8ECA0846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5" i="1"/>
  <c r="F25" i="1"/>
  <c r="G25" i="1"/>
  <c r="K25" i="1"/>
  <c r="C8" i="1"/>
  <c r="E40" i="1"/>
  <c r="F40" i="1"/>
  <c r="G40" i="1"/>
  <c r="K40" i="1"/>
  <c r="E24" i="1"/>
  <c r="F24" i="1"/>
  <c r="G24" i="1"/>
  <c r="K24" i="1"/>
  <c r="E39" i="1"/>
  <c r="F39" i="1"/>
  <c r="G39" i="1"/>
  <c r="K39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2" i="1"/>
  <c r="F32" i="1"/>
  <c r="G32" i="1"/>
  <c r="J32" i="1"/>
  <c r="E34" i="1"/>
  <c r="F34" i="1"/>
  <c r="G34" i="1"/>
  <c r="J34" i="1"/>
  <c r="E35" i="1"/>
  <c r="F35" i="1"/>
  <c r="G35" i="1"/>
  <c r="J35" i="1"/>
  <c r="E38" i="1"/>
  <c r="F38" i="1"/>
  <c r="G38" i="1"/>
  <c r="J38" i="1"/>
  <c r="E42" i="1"/>
  <c r="F42" i="1"/>
  <c r="G42" i="1"/>
  <c r="J42" i="1"/>
  <c r="E43" i="1"/>
  <c r="F43" i="1"/>
  <c r="G43" i="1"/>
  <c r="J43" i="1"/>
  <c r="E45" i="1"/>
  <c r="F45" i="1"/>
  <c r="G45" i="1"/>
  <c r="J45" i="1"/>
  <c r="E46" i="1"/>
  <c r="F46" i="1"/>
  <c r="G46" i="1"/>
  <c r="J46" i="1"/>
  <c r="E31" i="1"/>
  <c r="F31" i="1"/>
  <c r="G31" i="1"/>
  <c r="K31" i="1"/>
  <c r="E33" i="1"/>
  <c r="F33" i="1"/>
  <c r="G33" i="1"/>
  <c r="K33" i="1"/>
  <c r="E36" i="1"/>
  <c r="F36" i="1"/>
  <c r="G36" i="1"/>
  <c r="K36" i="1"/>
  <c r="E37" i="1"/>
  <c r="F37" i="1"/>
  <c r="G37" i="1"/>
  <c r="K37" i="1"/>
  <c r="D9" i="1"/>
  <c r="C9" i="1"/>
  <c r="E21" i="1"/>
  <c r="F21" i="1"/>
  <c r="G21" i="1"/>
  <c r="H21" i="1"/>
  <c r="E23" i="1"/>
  <c r="F23" i="1"/>
  <c r="G23" i="1"/>
  <c r="K23" i="1"/>
  <c r="E41" i="1"/>
  <c r="F41" i="1"/>
  <c r="G41" i="1"/>
  <c r="K41" i="1"/>
  <c r="E44" i="1"/>
  <c r="F44" i="1"/>
  <c r="G44" i="1"/>
  <c r="K44" i="1"/>
  <c r="E22" i="1"/>
  <c r="F22" i="1"/>
  <c r="G22" i="1"/>
  <c r="K22" i="1"/>
  <c r="E30" i="1"/>
  <c r="F30" i="1"/>
  <c r="G30" i="1"/>
  <c r="K30" i="1"/>
  <c r="Q31" i="1"/>
  <c r="Q33" i="1"/>
  <c r="Q36" i="1"/>
  <c r="Q37" i="1"/>
  <c r="Q39" i="1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35" i="2"/>
  <c r="C35" i="2"/>
  <c r="E35" i="2"/>
  <c r="G23" i="2"/>
  <c r="C23" i="2"/>
  <c r="E23" i="2"/>
  <c r="G34" i="2"/>
  <c r="C34" i="2"/>
  <c r="E34" i="2"/>
  <c r="G33" i="2"/>
  <c r="C33" i="2"/>
  <c r="E33" i="2"/>
  <c r="G22" i="2"/>
  <c r="C22" i="2"/>
  <c r="E22" i="2"/>
  <c r="G21" i="2"/>
  <c r="C21" i="2"/>
  <c r="E21" i="2"/>
  <c r="G32" i="2"/>
  <c r="C32" i="2"/>
  <c r="E32" i="2"/>
  <c r="G20" i="2"/>
  <c r="C20" i="2"/>
  <c r="E20" i="2"/>
  <c r="G31" i="2"/>
  <c r="C31" i="2"/>
  <c r="E31" i="2"/>
  <c r="G30" i="2"/>
  <c r="C30" i="2"/>
  <c r="E3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35" i="2"/>
  <c r="B35" i="2"/>
  <c r="D35" i="2"/>
  <c r="A35" i="2"/>
  <c r="H23" i="2"/>
  <c r="B23" i="2"/>
  <c r="D23" i="2"/>
  <c r="A23" i="2"/>
  <c r="H34" i="2"/>
  <c r="B34" i="2"/>
  <c r="D34" i="2"/>
  <c r="A34" i="2"/>
  <c r="H33" i="2"/>
  <c r="B33" i="2"/>
  <c r="D33" i="2"/>
  <c r="A33" i="2"/>
  <c r="H22" i="2"/>
  <c r="B22" i="2"/>
  <c r="D22" i="2"/>
  <c r="A22" i="2"/>
  <c r="H21" i="2"/>
  <c r="B21" i="2"/>
  <c r="D21" i="2"/>
  <c r="A21" i="2"/>
  <c r="H32" i="2"/>
  <c r="B32" i="2"/>
  <c r="D32" i="2"/>
  <c r="A32" i="2"/>
  <c r="H20" i="2"/>
  <c r="B20" i="2"/>
  <c r="D20" i="2"/>
  <c r="A20" i="2"/>
  <c r="H31" i="2"/>
  <c r="B31" i="2"/>
  <c r="D31" i="2"/>
  <c r="A31" i="2"/>
  <c r="H30" i="2"/>
  <c r="B30" i="2"/>
  <c r="D30" i="2"/>
  <c r="A3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8" i="1"/>
  <c r="Q45" i="1"/>
  <c r="Q46" i="1"/>
  <c r="Q43" i="1"/>
  <c r="Q44" i="1"/>
  <c r="Q34" i="1"/>
  <c r="Q35" i="1"/>
  <c r="Q42" i="1"/>
  <c r="Q40" i="1"/>
  <c r="Q41" i="1"/>
  <c r="F16" i="1"/>
  <c r="F17" i="1" s="1"/>
  <c r="Q30" i="1"/>
  <c r="Q32" i="1"/>
  <c r="Q22" i="1"/>
  <c r="Q25" i="1"/>
  <c r="C17" i="1"/>
  <c r="Q27" i="1"/>
  <c r="Q28" i="1"/>
  <c r="Q29" i="1"/>
  <c r="Q24" i="1"/>
  <c r="Q21" i="1"/>
  <c r="Q23" i="1"/>
  <c r="Q26" i="1"/>
  <c r="C11" i="1"/>
  <c r="C12" i="1"/>
  <c r="C16" i="1" l="1"/>
  <c r="D18" i="1" s="1"/>
  <c r="O28" i="1"/>
  <c r="O21" i="1"/>
  <c r="O22" i="1"/>
  <c r="O33" i="1"/>
  <c r="O38" i="1"/>
  <c r="O36" i="1"/>
  <c r="O44" i="1"/>
  <c r="O25" i="1"/>
  <c r="O27" i="1"/>
  <c r="O31" i="1"/>
  <c r="O34" i="1"/>
  <c r="O24" i="1"/>
  <c r="O29" i="1"/>
  <c r="C15" i="1"/>
  <c r="F18" i="1" s="1"/>
  <c r="O45" i="1"/>
  <c r="O35" i="1"/>
  <c r="O43" i="1"/>
  <c r="O40" i="1"/>
  <c r="O46" i="1"/>
  <c r="O30" i="1"/>
  <c r="O32" i="1"/>
  <c r="O42" i="1"/>
  <c r="O23" i="1"/>
  <c r="O26" i="1"/>
  <c r="O41" i="1"/>
  <c r="O39" i="1"/>
  <c r="O37" i="1"/>
  <c r="F19" i="1" l="1"/>
  <c r="C18" i="1"/>
</calcChain>
</file>

<file path=xl/sharedStrings.xml><?xml version="1.0" encoding="utf-8"?>
<sst xmlns="http://schemas.openxmlformats.org/spreadsheetml/2006/main" count="329" uniqueCount="192">
  <si>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</si>
  <si>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</si>
  <si>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</si>
  <si>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</si>
  <si>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</si>
  <si>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</si>
  <si>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</si>
  <si>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</si>
  <si>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</si>
  <si>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</si>
  <si>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</si>
  <si>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</si>
  <si>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</si>
  <si>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</si>
  <si>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</si>
  <si>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</si>
  <si>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</si>
  <si>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</si>
  <si>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</si>
  <si>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</si>
  <si>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</si>
  <si>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</si>
  <si>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</si>
  <si>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</si>
  <si>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</si>
  <si>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</si>
  <si>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</si>
  <si>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EB</t>
  </si>
  <si>
    <t>IBVS 5583</t>
  </si>
  <si>
    <t>I</t>
  </si>
  <si>
    <t># of data points: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</si>
  <si>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</si>
  <si>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</si>
  <si>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</si>
  <si>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</si>
  <si>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</si>
  <si>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</si>
  <si>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</si>
  <si>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</si>
  <si>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</si>
  <si>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5874</t>
  </si>
  <si>
    <t>OEJV 0074</t>
  </si>
  <si>
    <t>CCD</t>
  </si>
  <si>
    <t>OEJV 0107</t>
  </si>
  <si>
    <t>IBVS 5960</t>
  </si>
  <si>
    <t>Add cycle</t>
  </si>
  <si>
    <t>Old Cycle</t>
  </si>
  <si>
    <t>OEJV 0137</t>
  </si>
  <si>
    <t>IBVS 5918</t>
  </si>
  <si>
    <t>II</t>
  </si>
  <si>
    <t>IBVS 6010</t>
  </si>
  <si>
    <t>IBVS 6042</t>
  </si>
  <si>
    <t>IBVS 6070</t>
  </si>
  <si>
    <t>IBVS 6118</t>
  </si>
  <si>
    <t>V0336 Cas / GSC 04014-01935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</si>
  <si>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</si>
  <si>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</si>
  <si>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</si>
  <si>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</si>
  <si>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</si>
  <si>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</si>
  <si>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</si>
  <si>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</si>
  <si>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</si>
  <si>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</si>
  <si>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</si>
  <si>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2452205.3478 </t>
  </si>
  <si>
    <t> 22.10.2001 20:20 </t>
  </si>
  <si>
    <t> -0.0150 </t>
  </si>
  <si>
    <t>E </t>
  </si>
  <si>
    <t>?</t>
  </si>
  <si>
    <t> E.Blättler </t>
  </si>
  <si>
    <t> BBS 127 </t>
  </si>
  <si>
    <t>2452205.34876 </t>
  </si>
  <si>
    <t> 22.10.2001 20:22 </t>
  </si>
  <si>
    <t> -0.01400 </t>
  </si>
  <si>
    <t>C </t>
  </si>
  <si>
    <t>o</t>
  </si>
  <si>
    <t> J.Šafár </t>
  </si>
  <si>
    <t>OEJV 0074 </t>
  </si>
  <si>
    <t>2452684.3732 </t>
  </si>
  <si>
    <t> 13.02.2003 20:57 </t>
  </si>
  <si>
    <t> -0.0143 </t>
  </si>
  <si>
    <t> M.Zejda </t>
  </si>
  <si>
    <t>IBVS 5583 </t>
  </si>
  <si>
    <t>2452693.3308 </t>
  </si>
  <si>
    <t> 22.02.2003 19:56 </t>
  </si>
  <si>
    <t> -0.0160 </t>
  </si>
  <si>
    <t> BBS 129 </t>
  </si>
  <si>
    <t>2452875.50356 </t>
  </si>
  <si>
    <t> 24.08.2003 00:05 </t>
  </si>
  <si>
    <t> -0.01600 </t>
  </si>
  <si>
    <t> J.Kudrnácová </t>
  </si>
  <si>
    <t>2453768.4501 </t>
  </si>
  <si>
    <t> 01.02.2006 22:48 </t>
  </si>
  <si>
    <t> -0.0146 </t>
  </si>
  <si>
    <t>-I</t>
  </si>
  <si>
    <t> F.Agerer </t>
  </si>
  <si>
    <t>BAVM 178 </t>
  </si>
  <si>
    <t>2454002.5868 </t>
  </si>
  <si>
    <t> 24.09.2006 02:04 </t>
  </si>
  <si>
    <t>42817</t>
  </si>
  <si>
    <t> -0.0147 </t>
  </si>
  <si>
    <t>BAVM 183 </t>
  </si>
  <si>
    <t>2454035.4366 </t>
  </si>
  <si>
    <t> 26.10.2006 22:28 </t>
  </si>
  <si>
    <t>42872</t>
  </si>
  <si>
    <t> -0.0157 </t>
  </si>
  <si>
    <t>2454085.6064 </t>
  </si>
  <si>
    <t> 16.12.2006 02:33 </t>
  </si>
  <si>
    <t>42956</t>
  </si>
  <si>
    <t> -0.0180 </t>
  </si>
  <si>
    <t>2454308.3984 </t>
  </si>
  <si>
    <t> 26.07.2007 21:33 </t>
  </si>
  <si>
    <t>43329</t>
  </si>
  <si>
    <t> -0.0144 </t>
  </si>
  <si>
    <t>R</t>
  </si>
  <si>
    <t> M.Lehky </t>
  </si>
  <si>
    <t>OEJV 0107 </t>
  </si>
  <si>
    <t>2454374.4041 </t>
  </si>
  <si>
    <t> 30.09.2007 21:41 </t>
  </si>
  <si>
    <t>43439.5</t>
  </si>
  <si>
    <t> -0.0089 </t>
  </si>
  <si>
    <t>BAVM 193 </t>
  </si>
  <si>
    <t>2454454.4354 </t>
  </si>
  <si>
    <t> 19.12.2007 22:26 </t>
  </si>
  <si>
    <t>43573.5</t>
  </si>
  <si>
    <t> -0.0142 </t>
  </si>
  <si>
    <t>BAVM 201 </t>
  </si>
  <si>
    <t>2454718.4344 </t>
  </si>
  <si>
    <t> 08.09.2008 22:25 </t>
  </si>
  <si>
    <t>44015.5</t>
  </si>
  <si>
    <t> -0.0164 </t>
  </si>
  <si>
    <t>BAVM 203 </t>
  </si>
  <si>
    <t>2454830.4277 </t>
  </si>
  <si>
    <t> 29.12.2008 22:15 </t>
  </si>
  <si>
    <t>44203</t>
  </si>
  <si>
    <t> -0.0145 </t>
  </si>
  <si>
    <t>BAVM 209 </t>
  </si>
  <si>
    <t>2454841.4809 </t>
  </si>
  <si>
    <t> 09.01.2009 23:32 </t>
  </si>
  <si>
    <t>44221.5</t>
  </si>
  <si>
    <t> -0.0111 </t>
  </si>
  <si>
    <t>2455096.5187 </t>
  </si>
  <si>
    <t> 22.09.2009 00:26 </t>
  </si>
  <si>
    <t>44648.5</t>
  </si>
  <si>
    <t> -0.0152 </t>
  </si>
  <si>
    <t>BAVM 212 </t>
  </si>
  <si>
    <t>2455108.4691 </t>
  </si>
  <si>
    <t> 03.10.2009 23:15 </t>
  </si>
  <si>
    <t>44668.5</t>
  </si>
  <si>
    <t> -0.0105 </t>
  </si>
  <si>
    <t>2455409.4987 </t>
  </si>
  <si>
    <t> 31.07.2010 23:58 </t>
  </si>
  <si>
    <t>45172.5</t>
  </si>
  <si>
    <t> -0.0139 </t>
  </si>
  <si>
    <t>BAVM 215 </t>
  </si>
  <si>
    <t>2455471.3167 </t>
  </si>
  <si>
    <t> 01.10.2010 19:36 </t>
  </si>
  <si>
    <t>45276</t>
  </si>
  <si>
    <t>OEJV 0137 </t>
  </si>
  <si>
    <t>2455513.7242 </t>
  </si>
  <si>
    <t> 13.11.2010 05:22 </t>
  </si>
  <si>
    <t>45347</t>
  </si>
  <si>
    <t> -0.0151 </t>
  </si>
  <si>
    <t> R.Diethelm </t>
  </si>
  <si>
    <t>IBVS 5960 </t>
  </si>
  <si>
    <t>2455776.5318 </t>
  </si>
  <si>
    <t> 03.08.2011 00:45 </t>
  </si>
  <si>
    <t>45787</t>
  </si>
  <si>
    <t> -0.0141 </t>
  </si>
  <si>
    <t>BAVM 220 </t>
  </si>
  <si>
    <t>2456133.4108 </t>
  </si>
  <si>
    <t> 24.07.2012 21:51 </t>
  </si>
  <si>
    <t>46384.5</t>
  </si>
  <si>
    <t>BAVM 231 </t>
  </si>
  <si>
    <t>2456256.751 </t>
  </si>
  <si>
    <t> 25.11.2012 06:01 </t>
  </si>
  <si>
    <t>46591</t>
  </si>
  <si>
    <t> -0.014 </t>
  </si>
  <si>
    <t>IBVS 6042 </t>
  </si>
  <si>
    <t>2456713.3732 </t>
  </si>
  <si>
    <t> 24.02.2014 20:57 </t>
  </si>
  <si>
    <t>47355.5</t>
  </si>
  <si>
    <t> -0.0185 </t>
  </si>
  <si>
    <t> U.Schmidt </t>
  </si>
  <si>
    <t>BAVM 234 </t>
  </si>
  <si>
    <t>2456713.6745 </t>
  </si>
  <si>
    <t> 25.02.2014 04:11 </t>
  </si>
  <si>
    <t>47356</t>
  </si>
  <si>
    <t> -0.0158 </t>
  </si>
  <si>
    <t>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</si>
</sst>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V0336 Cas - O-C Diagr.</a:t>
            </a:r>
          </a:p>
        </c:rich>
      </c:tx>
      <c:layout>
        <c:manualLayout>
          <c:xMode val="edge"/>
          <c:yMode val="edge"/>
          <c:x val="0.35908857207826994"/>
          <c:y val="3.3639164669633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62082319236867"/>
          <c:y val="0.14678942920199375"/>
          <c:w val="0.7879316978142660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8-4297-A1BB-CBD6E7B74E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A8-4297-A1BB-CBD6E7B74E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5">
                  <c:v>-1.4572499996575061E-2</c:v>
                </c:pt>
                <c:pt idx="6">
                  <c:v>-1.4650899996922817E-2</c:v>
                </c:pt>
                <c:pt idx="7">
                  <c:v>-1.5674399997806177E-2</c:v>
                </c:pt>
                <c:pt idx="8">
                  <c:v>-1.8041199997242074E-2</c:v>
                </c:pt>
                <c:pt idx="11">
                  <c:v>-1.4195949996064883E-2</c:v>
                </c:pt>
                <c:pt idx="13">
                  <c:v>-1.4503099999274127E-2</c:v>
                </c:pt>
                <c:pt idx="14">
                  <c:v>-1.1125550001452211E-2</c:v>
                </c:pt>
                <c:pt idx="17">
                  <c:v>-1.3928250002209097E-2</c:v>
                </c:pt>
                <c:pt idx="21">
                  <c:v>-1.4119900006335229E-2</c:v>
                </c:pt>
                <c:pt idx="22">
                  <c:v>-1.4520650001941249E-2</c:v>
                </c:pt>
                <c:pt idx="24">
                  <c:v>-1.8477349993190728E-2</c:v>
                </c:pt>
                <c:pt idx="25">
                  <c:v>-1.5821200002392288E-2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A8-4297-A1BB-CBD6E7B74E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-1.400160000048345E-2</c:v>
                </c:pt>
                <c:pt idx="2">
                  <c:v>-1.4297000001533888E-2</c:v>
                </c:pt>
                <c:pt idx="3">
                  <c:v>-1.601249999657739E-2</c:v>
                </c:pt>
                <c:pt idx="4">
                  <c:v>-1.6000999996322207E-2</c:v>
                </c:pt>
                <c:pt idx="9">
                  <c:v>-1.4333300001453608E-2</c:v>
                </c:pt>
                <c:pt idx="10">
                  <c:v>-8.944150002207607E-3</c:v>
                </c:pt>
                <c:pt idx="12">
                  <c:v>-1.6359350003767759E-2</c:v>
                </c:pt>
                <c:pt idx="15">
                  <c:v>-1.5173449995927513E-2</c:v>
                </c:pt>
                <c:pt idx="16">
                  <c:v>-1.0527449994697236E-2</c:v>
                </c:pt>
                <c:pt idx="18">
                  <c:v>-1.5205199997581076E-2</c:v>
                </c:pt>
                <c:pt idx="19">
                  <c:v>-1.5165199998591561E-2</c:v>
                </c:pt>
                <c:pt idx="20">
                  <c:v>-1.5131899999687448E-2</c:v>
                </c:pt>
                <c:pt idx="23">
                  <c:v>-1.4230699998734053E-2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A8-4297-A1BB-CBD6E7B74E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A8-4297-A1BB-CBD6E7B74E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A8-4297-A1BB-CBD6E7B74E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a7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A8-4297-A1BB-CBD6E7B74E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-1.1778213772645707E-2</c:v>
                </c:pt>
                <c:pt idx="1">
                  <c:v>-1.4332383946104858E-2</c:v>
                </c:pt>
                <c:pt idx="2">
                  <c:v>-1.4383842057015083E-2</c:v>
                </c:pt>
                <c:pt idx="3">
                  <c:v>-1.4384804490510911E-2</c:v>
                </c:pt>
                <c:pt idx="4">
                  <c:v>-1.4404373971592728E-2</c:v>
                </c:pt>
                <c:pt idx="5">
                  <c:v>-1.4500296510010169E-2</c:v>
                </c:pt>
                <c:pt idx="6">
                  <c:v>-1.4525448105367784E-2</c:v>
                </c:pt>
                <c:pt idx="7">
                  <c:v>-1.4528977028185817E-2</c:v>
                </c:pt>
                <c:pt idx="8">
                  <c:v>-1.453436665576245E-2</c:v>
                </c:pt>
                <c:pt idx="9">
                  <c:v>-1.4558299168692019E-2</c:v>
                </c:pt>
                <c:pt idx="10">
                  <c:v>-1.4565389095444612E-2</c:v>
                </c:pt>
                <c:pt idx="11">
                  <c:v>-1.4573986834674001E-2</c:v>
                </c:pt>
                <c:pt idx="12">
                  <c:v>-1.4602346541684373E-2</c:v>
                </c:pt>
                <c:pt idx="13">
                  <c:v>-1.4614376960382213E-2</c:v>
                </c:pt>
                <c:pt idx="14">
                  <c:v>-1.4615563961693733E-2</c:v>
                </c:pt>
                <c:pt idx="15">
                  <c:v>-1.4642961235208279E-2</c:v>
                </c:pt>
                <c:pt idx="16">
                  <c:v>-1.4644244479869383E-2</c:v>
                </c:pt>
                <c:pt idx="17">
                  <c:v>-1.4676582245329174E-2</c:v>
                </c:pt>
                <c:pt idx="18">
                  <c:v>-1.4683223036450383E-2</c:v>
                </c:pt>
                <c:pt idx="19">
                  <c:v>-1.4683223036450383E-2</c:v>
                </c:pt>
                <c:pt idx="20">
                  <c:v>-1.4687778554997297E-2</c:v>
                </c:pt>
                <c:pt idx="21">
                  <c:v>-1.471600993754156E-2</c:v>
                </c:pt>
                <c:pt idx="22">
                  <c:v>-1.4754346871792008E-2</c:v>
                </c:pt>
                <c:pt idx="23">
                  <c:v>-1.4767596372917895E-2</c:v>
                </c:pt>
                <c:pt idx="24">
                  <c:v>-1.4816648400088553E-2</c:v>
                </c:pt>
                <c:pt idx="25">
                  <c:v>-1.4816680481205081E-2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A8-4297-A1BB-CBD6E7B74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59720"/>
        <c:axId val="1"/>
      </c:scatterChart>
      <c:valAx>
        <c:axId val="713259720"/>
        <c:scaling>
          <c:orientation val="minMax"/>
          <c:min val="3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107068512987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259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44845687392524"/>
          <c:y val="0.9204921861831491"/>
          <c:w val="0.7034488188976378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V0336 Cas - O-C Diagr.</a:t>
            </a:r>
          </a:p>
        </c:rich>
      </c:tx>
      <c:layout>
        <c:manualLayout>
          <c:xMode val="edge"/>
          <c:yMode val="edge"/>
          <c:x val="0.3645161290322580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34168126798494"/>
          <c:w val="0.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EF-437C-9FF9-47BC04DB94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EF-437C-9FF9-47BC04DB94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5">
                  <c:v>-1.4572499996575061E-2</c:v>
                </c:pt>
                <c:pt idx="6">
                  <c:v>-1.4650899996922817E-2</c:v>
                </c:pt>
                <c:pt idx="7">
                  <c:v>-1.5674399997806177E-2</c:v>
                </c:pt>
                <c:pt idx="8">
                  <c:v>-1.8041199997242074E-2</c:v>
                </c:pt>
                <c:pt idx="11">
                  <c:v>-1.4195949996064883E-2</c:v>
                </c:pt>
                <c:pt idx="13">
                  <c:v>-1.4503099999274127E-2</c:v>
                </c:pt>
                <c:pt idx="14">
                  <c:v>-1.1125550001452211E-2</c:v>
                </c:pt>
                <c:pt idx="17">
                  <c:v>-1.3928250002209097E-2</c:v>
                </c:pt>
                <c:pt idx="21">
                  <c:v>-1.4119900006335229E-2</c:v>
                </c:pt>
                <c:pt idx="22">
                  <c:v>-1.4520650001941249E-2</c:v>
                </c:pt>
                <c:pt idx="24">
                  <c:v>-1.8477349993190728E-2</c:v>
                </c:pt>
                <c:pt idx="25">
                  <c:v>-1.5821200002392288E-2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EF-437C-9FF9-47BC04DB94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-1.400160000048345E-2</c:v>
                </c:pt>
                <c:pt idx="2">
                  <c:v>-1.4297000001533888E-2</c:v>
                </c:pt>
                <c:pt idx="3">
                  <c:v>-1.601249999657739E-2</c:v>
                </c:pt>
                <c:pt idx="4">
                  <c:v>-1.6000999996322207E-2</c:v>
                </c:pt>
                <c:pt idx="9">
                  <c:v>-1.4333300001453608E-2</c:v>
                </c:pt>
                <c:pt idx="10">
                  <c:v>-8.944150002207607E-3</c:v>
                </c:pt>
                <c:pt idx="12">
                  <c:v>-1.6359350003767759E-2</c:v>
                </c:pt>
                <c:pt idx="15">
                  <c:v>-1.5173449995927513E-2</c:v>
                </c:pt>
                <c:pt idx="16">
                  <c:v>-1.0527449994697236E-2</c:v>
                </c:pt>
                <c:pt idx="18">
                  <c:v>-1.5205199997581076E-2</c:v>
                </c:pt>
                <c:pt idx="19">
                  <c:v>-1.5165199998591561E-2</c:v>
                </c:pt>
                <c:pt idx="20">
                  <c:v>-1.5131899999687448E-2</c:v>
                </c:pt>
                <c:pt idx="23">
                  <c:v>-1.4230699998734053E-2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EF-437C-9FF9-47BC04DB94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EF-437C-9FF9-47BC04DB94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EF-437C-9FF9-47BC04DB94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a7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4.8999999999999998E-3</c:v>
                  </c:pt>
                  <c:pt idx="2">
                    <c:v>4.5999999999999999E-3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2.2000000000000001E-3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3.3E-3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5.4999999999999997E-3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2.3999999999999998E-3</c:v>
                  </c:pt>
                  <c:pt idx="22">
                    <c:v>6.4000000000000003E-3</c:v>
                  </c:pt>
                  <c:pt idx="23">
                    <c:v>3.0000000000000003E-4</c:v>
                  </c:pt>
                  <c:pt idx="24">
                    <c:v>1.2999999999999999E-3</c:v>
                  </c:pt>
                  <c:pt idx="2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EF-437C-9FF9-47BC04DB94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39808</c:v>
                </c:pt>
                <c:pt idx="2">
                  <c:v>40610</c:v>
                </c:pt>
                <c:pt idx="3">
                  <c:v>40625</c:v>
                </c:pt>
                <c:pt idx="4">
                  <c:v>40930</c:v>
                </c:pt>
                <c:pt idx="5">
                  <c:v>42425</c:v>
                </c:pt>
                <c:pt idx="6">
                  <c:v>42817</c:v>
                </c:pt>
                <c:pt idx="7">
                  <c:v>42872</c:v>
                </c:pt>
                <c:pt idx="8">
                  <c:v>42956</c:v>
                </c:pt>
                <c:pt idx="9">
                  <c:v>43329</c:v>
                </c:pt>
                <c:pt idx="10">
                  <c:v>43439.5</c:v>
                </c:pt>
                <c:pt idx="11">
                  <c:v>43573.5</c:v>
                </c:pt>
                <c:pt idx="12">
                  <c:v>44015.5</c:v>
                </c:pt>
                <c:pt idx="13">
                  <c:v>44203</c:v>
                </c:pt>
                <c:pt idx="14">
                  <c:v>44221.5</c:v>
                </c:pt>
                <c:pt idx="15">
                  <c:v>44648.5</c:v>
                </c:pt>
                <c:pt idx="16">
                  <c:v>44668.5</c:v>
                </c:pt>
                <c:pt idx="17">
                  <c:v>45172.5</c:v>
                </c:pt>
                <c:pt idx="18">
                  <c:v>45276</c:v>
                </c:pt>
                <c:pt idx="19">
                  <c:v>45276</c:v>
                </c:pt>
                <c:pt idx="20">
                  <c:v>45347</c:v>
                </c:pt>
                <c:pt idx="21">
                  <c:v>45787</c:v>
                </c:pt>
                <c:pt idx="22">
                  <c:v>46384.5</c:v>
                </c:pt>
                <c:pt idx="23">
                  <c:v>46591</c:v>
                </c:pt>
                <c:pt idx="24">
                  <c:v>47355.5</c:v>
                </c:pt>
                <c:pt idx="25">
                  <c:v>47356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-1.1778213772645707E-2</c:v>
                </c:pt>
                <c:pt idx="1">
                  <c:v>-1.4332383946104858E-2</c:v>
                </c:pt>
                <c:pt idx="2">
                  <c:v>-1.4383842057015083E-2</c:v>
                </c:pt>
                <c:pt idx="3">
                  <c:v>-1.4384804490510911E-2</c:v>
                </c:pt>
                <c:pt idx="4">
                  <c:v>-1.4404373971592728E-2</c:v>
                </c:pt>
                <c:pt idx="5">
                  <c:v>-1.4500296510010169E-2</c:v>
                </c:pt>
                <c:pt idx="6">
                  <c:v>-1.4525448105367784E-2</c:v>
                </c:pt>
                <c:pt idx="7">
                  <c:v>-1.4528977028185817E-2</c:v>
                </c:pt>
                <c:pt idx="8">
                  <c:v>-1.453436665576245E-2</c:v>
                </c:pt>
                <c:pt idx="9">
                  <c:v>-1.4558299168692019E-2</c:v>
                </c:pt>
                <c:pt idx="10">
                  <c:v>-1.4565389095444612E-2</c:v>
                </c:pt>
                <c:pt idx="11">
                  <c:v>-1.4573986834674001E-2</c:v>
                </c:pt>
                <c:pt idx="12">
                  <c:v>-1.4602346541684373E-2</c:v>
                </c:pt>
                <c:pt idx="13">
                  <c:v>-1.4614376960382213E-2</c:v>
                </c:pt>
                <c:pt idx="14">
                  <c:v>-1.4615563961693733E-2</c:v>
                </c:pt>
                <c:pt idx="15">
                  <c:v>-1.4642961235208279E-2</c:v>
                </c:pt>
                <c:pt idx="16">
                  <c:v>-1.4644244479869383E-2</c:v>
                </c:pt>
                <c:pt idx="17">
                  <c:v>-1.4676582245329174E-2</c:v>
                </c:pt>
                <c:pt idx="18">
                  <c:v>-1.4683223036450383E-2</c:v>
                </c:pt>
                <c:pt idx="19">
                  <c:v>-1.4683223036450383E-2</c:v>
                </c:pt>
                <c:pt idx="20">
                  <c:v>-1.4687778554997297E-2</c:v>
                </c:pt>
                <c:pt idx="21">
                  <c:v>-1.471600993754156E-2</c:v>
                </c:pt>
                <c:pt idx="22">
                  <c:v>-1.4754346871792008E-2</c:v>
                </c:pt>
                <c:pt idx="23">
                  <c:v>-1.4767596372917895E-2</c:v>
                </c:pt>
                <c:pt idx="24">
                  <c:v>-1.4816648400088553E-2</c:v>
                </c:pt>
                <c:pt idx="25">
                  <c:v>-1.4816680481205081E-2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EF-437C-9FF9-47BC04DB9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958296"/>
        <c:axId val="1"/>
      </c:scatterChart>
      <c:valAx>
        <c:axId val="688958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958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8064516129034"/>
          <c:y val="0.92073298764483702"/>
          <c:w val="0.6580645161290321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1123949</xdr:colOff>
      <xdr:row>0</xdr:row>
      <xdr:rowOff>1</xdr:rowOff>
    </xdr:from>
    <xdr:to>
      <xdr:col>17</xdr:col>
      <xdr:colOff>238124</xdr:colOff>
      <xdr:row>17</xdr:row>
      <xdr:rowOff>171451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5BA0D6A-911A-404F-BDCF-4F0707333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28575</xdr:rowOff>
    </xdr:from>
    <xdr:to>
      <xdr:col>26</xdr:col>
      <xdr:colOff>581025</xdr:colOff>
      <xdr:row>18</xdr:row>
      <xdr:rowOff>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71B2832-2555-38B1-5DC8-5FE359908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bav-astro.de/sfs/BAVM_link.php?BAVMnr=212" TargetMode="External"/><Relationship Id="rId23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193" TargetMode="External"/><Relationship Id="rId14" Type="http://schemas.openxmlformats.org/officeDocument/2006/relationships/hyperlink" Target="http://www.bav-astro.de/sfs/BAVM_link.php?BAVMnr=212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A47" sqref="A4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24</v>
      </c>
      <c r="B2" s="10" t="s">
        <v>27</v>
      </c>
    </row>
    <row r="4" spans="1:6" ht="14.25" thickTop="1" thickBot="1" x14ac:dyDescent="0.25">
      <c r="A4" s="7" t="s">
        <v>0</v>
      </c>
      <c r="C4" s="3">
        <v>28428.534</v>
      </c>
      <c r="D4" s="4">
        <v>0.59728769999999998</v>
      </c>
    </row>
    <row r="5" spans="1:6" ht="13.5" thickTop="1" x14ac:dyDescent="0.2">
      <c r="A5" s="15" t="s">
        <v>33</v>
      </c>
      <c r="B5" s="10"/>
      <c r="C5" s="16">
        <v>-9.5</v>
      </c>
      <c r="D5" s="10" t="s">
        <v>34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28428.534</v>
      </c>
    </row>
    <row r="8" spans="1:6" x14ac:dyDescent="0.2">
      <c r="A8" t="s">
        <v>3</v>
      </c>
      <c r="C8">
        <f>+D4</f>
        <v>0.59728769999999998</v>
      </c>
    </row>
    <row r="9" spans="1:6" x14ac:dyDescent="0.2">
      <c r="A9" s="29" t="s">
        <v>39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6" x14ac:dyDescent="0.2">
      <c r="A11" s="10" t="s">
        <v>16</v>
      </c>
      <c r="B11" s="10"/>
      <c r="C11" s="17">
        <f ca="1">INTERCEPT(INDIRECT($D$9):G991,INDIRECT($C$9):F991)</f>
        <v>-1.1778213772645707E-2</v>
      </c>
      <c r="D11" s="5"/>
      <c r="E11" s="10"/>
    </row>
    <row r="12" spans="1:6" x14ac:dyDescent="0.2">
      <c r="A12" s="10" t="s">
        <v>17</v>
      </c>
      <c r="B12" s="10"/>
      <c r="C12" s="17">
        <f ca="1">SLOPE(INDIRECT($D$9):G991,INDIRECT($C$9):F991)</f>
        <v>-6.416223305514346E-8</v>
      </c>
      <c r="D12" s="5"/>
      <c r="E12" s="10"/>
    </row>
    <row r="13" spans="1:6" x14ac:dyDescent="0.2">
      <c r="A13" s="10" t="s">
        <v>19</v>
      </c>
      <c r="B13" s="10"/>
      <c r="C13" s="5" t="s">
        <v>14</v>
      </c>
    </row>
    <row r="14" spans="1:6" x14ac:dyDescent="0.2">
      <c r="A14" s="10"/>
      <c r="B14" s="10"/>
      <c r="C14" s="10"/>
    </row>
    <row r="15" spans="1:6" x14ac:dyDescent="0.2">
      <c r="A15" s="20" t="s">
        <v>18</v>
      </c>
      <c r="B15" s="10"/>
      <c r="C15" s="21">
        <f ca="1">(C7+C11)+(C8+C12)*INT(MAX(F21:F3532))</f>
        <v>56713.675504519517</v>
      </c>
      <c r="E15" s="22" t="s">
        <v>45</v>
      </c>
      <c r="F15" s="16">
        <v>1</v>
      </c>
    </row>
    <row r="16" spans="1:6" x14ac:dyDescent="0.2">
      <c r="A16" s="24" t="s">
        <v>4</v>
      </c>
      <c r="B16" s="10"/>
      <c r="C16" s="25">
        <f ca="1">+C8+C12</f>
        <v>0.59728763583776689</v>
      </c>
      <c r="E16" s="22" t="s">
        <v>35</v>
      </c>
      <c r="F16" s="23">
        <f ca="1">NOW()+15018.5+$C$5/24</f>
        <v>60328.783548495368</v>
      </c>
    </row>
    <row r="17" spans="1:17" ht="13.5" thickBot="1" x14ac:dyDescent="0.25">
      <c r="A17" s="22" t="s">
        <v>30</v>
      </c>
      <c r="B17" s="10"/>
      <c r="C17" s="10">
        <f>COUNT(C21:C2190)</f>
        <v>26</v>
      </c>
      <c r="E17" s="22" t="s">
        <v>46</v>
      </c>
      <c r="F17" s="23">
        <f ca="1">ROUND(2*(F16-$C$7)/$C$8,0)/2+F15</f>
        <v>53409.5</v>
      </c>
    </row>
    <row r="18" spans="1:17" ht="14.25" thickTop="1" thickBot="1" x14ac:dyDescent="0.25">
      <c r="A18" s="24" t="s">
        <v>5</v>
      </c>
      <c r="B18" s="10"/>
      <c r="C18" s="27">
        <f ca="1">+C15</f>
        <v>56713.675504519517</v>
      </c>
      <c r="D18" s="28">
        <f ca="1">+C16</f>
        <v>0.59728763583776689</v>
      </c>
      <c r="E18" s="22" t="s">
        <v>36</v>
      </c>
      <c r="F18" s="19">
        <f ca="1">ROUND(2*(F16-$C$15)/$C$16,0)/2+F15</f>
        <v>6053.5</v>
      </c>
    </row>
    <row r="19" spans="1:17" ht="13.5" thickTop="1" x14ac:dyDescent="0.2">
      <c r="E19" s="22" t="s">
        <v>37</v>
      </c>
      <c r="F19" s="26">
        <f ca="1">+$C$15+$C$16*F18-15018.5-$C$5/24</f>
        <v>45311.252041396772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62</v>
      </c>
      <c r="I20" s="9" t="s">
        <v>65</v>
      </c>
      <c r="J20" s="9" t="s">
        <v>59</v>
      </c>
      <c r="K20" s="9" t="s">
        <v>42</v>
      </c>
      <c r="L20" s="9" t="s">
        <v>25</v>
      </c>
      <c r="M20" s="9" t="s">
        <v>26</v>
      </c>
      <c r="N20" s="9" t="s">
        <v>191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14">
        <v>28428.534</v>
      </c>
      <c r="D21" s="14" t="s">
        <v>14</v>
      </c>
      <c r="E21">
        <f t="shared" ref="E21:E46" si="0">+(C21-C$7)/C$8</f>
        <v>0</v>
      </c>
      <c r="F21">
        <f t="shared" ref="F21:F46" si="1">ROUND(2*E21,0)/2</f>
        <v>0</v>
      </c>
      <c r="G21">
        <f t="shared" ref="G21:G46" si="2">+C21-(C$7+F21*C$8)</f>
        <v>0</v>
      </c>
      <c r="H21">
        <f>+G21</f>
        <v>0</v>
      </c>
      <c r="O21">
        <f t="shared" ref="O21:O46" ca="1" si="3">+C$11+C$12*$F21</f>
        <v>-1.1778213772645707E-2</v>
      </c>
      <c r="Q21" s="2">
        <f t="shared" ref="Q21:Q46" si="4">+C21-15018.5</f>
        <v>13410.034</v>
      </c>
    </row>
    <row r="22" spans="1:17" x14ac:dyDescent="0.2">
      <c r="A22" s="31" t="s">
        <v>41</v>
      </c>
      <c r="B22" s="32" t="s">
        <v>29</v>
      </c>
      <c r="C22" s="31">
        <v>52205.348760000001</v>
      </c>
      <c r="D22" s="31">
        <v>4.8999999999999998E-3</v>
      </c>
      <c r="E22">
        <f t="shared" si="0"/>
        <v>39807.976558030583</v>
      </c>
      <c r="F22">
        <f t="shared" si="1"/>
        <v>39808</v>
      </c>
      <c r="G22">
        <f t="shared" si="2"/>
        <v>-1.400160000048345E-2</v>
      </c>
      <c r="K22">
        <f>+G22</f>
        <v>-1.400160000048345E-2</v>
      </c>
      <c r="O22">
        <f t="shared" ca="1" si="3"/>
        <v>-1.4332383946104858E-2</v>
      </c>
      <c r="Q22" s="2">
        <f t="shared" si="4"/>
        <v>37186.848760000001</v>
      </c>
    </row>
    <row r="23" spans="1:17" x14ac:dyDescent="0.2">
      <c r="A23" s="33" t="s">
        <v>28</v>
      </c>
      <c r="B23" s="34" t="s">
        <v>29</v>
      </c>
      <c r="C23" s="33">
        <v>52684.373200000002</v>
      </c>
      <c r="D23" s="35">
        <v>4.5999999999999999E-3</v>
      </c>
      <c r="E23">
        <f t="shared" si="0"/>
        <v>40609.976063461552</v>
      </c>
      <c r="F23">
        <f t="shared" si="1"/>
        <v>40610</v>
      </c>
      <c r="G23">
        <f t="shared" si="2"/>
        <v>-1.4297000001533888E-2</v>
      </c>
      <c r="K23">
        <f>+G23</f>
        <v>-1.4297000001533888E-2</v>
      </c>
      <c r="O23">
        <f t="shared" ca="1" si="3"/>
        <v>-1.4383842057015083E-2</v>
      </c>
      <c r="Q23" s="2">
        <f t="shared" si="4"/>
        <v>37665.873200000002</v>
      </c>
    </row>
    <row r="24" spans="1:17" x14ac:dyDescent="0.2">
      <c r="A24" s="11" t="s">
        <v>32</v>
      </c>
      <c r="B24" s="12" t="s">
        <v>29</v>
      </c>
      <c r="C24" s="13">
        <v>52693.330800000003</v>
      </c>
      <c r="D24" s="13">
        <v>1.1999999999999999E-3</v>
      </c>
      <c r="E24">
        <f t="shared" si="0"/>
        <v>40624.973191311328</v>
      </c>
      <c r="F24">
        <f t="shared" si="1"/>
        <v>40625</v>
      </c>
      <c r="G24">
        <f t="shared" si="2"/>
        <v>-1.601249999657739E-2</v>
      </c>
      <c r="K24">
        <f>+G24</f>
        <v>-1.601249999657739E-2</v>
      </c>
      <c r="O24">
        <f t="shared" ca="1" si="3"/>
        <v>-1.4384804490510911E-2</v>
      </c>
      <c r="Q24" s="2">
        <f t="shared" si="4"/>
        <v>37674.830800000003</v>
      </c>
    </row>
    <row r="25" spans="1:17" x14ac:dyDescent="0.2">
      <c r="A25" s="31" t="s">
        <v>41</v>
      </c>
      <c r="B25" s="32" t="s">
        <v>29</v>
      </c>
      <c r="C25" s="31">
        <v>52875.503559999997</v>
      </c>
      <c r="D25" s="31" t="s">
        <v>42</v>
      </c>
      <c r="E25">
        <f t="shared" si="0"/>
        <v>40929.973210565026</v>
      </c>
      <c r="F25">
        <f t="shared" si="1"/>
        <v>40930</v>
      </c>
      <c r="G25">
        <f t="shared" si="2"/>
        <v>-1.6000999996322207E-2</v>
      </c>
      <c r="K25">
        <f>+G25</f>
        <v>-1.6000999996322207E-2</v>
      </c>
      <c r="O25">
        <f t="shared" ca="1" si="3"/>
        <v>-1.4404373971592728E-2</v>
      </c>
      <c r="Q25" s="2">
        <f t="shared" si="4"/>
        <v>37857.003559999997</v>
      </c>
    </row>
    <row r="26" spans="1:17" x14ac:dyDescent="0.2">
      <c r="A26" s="11" t="s">
        <v>31</v>
      </c>
      <c r="B26" s="36"/>
      <c r="C26" s="13">
        <v>53768.450100000002</v>
      </c>
      <c r="D26" s="13">
        <v>2.2000000000000001E-3</v>
      </c>
      <c r="E26">
        <f t="shared" si="0"/>
        <v>42424.975602209794</v>
      </c>
      <c r="F26">
        <f t="shared" si="1"/>
        <v>42425</v>
      </c>
      <c r="G26">
        <f t="shared" si="2"/>
        <v>-1.4572499996575061E-2</v>
      </c>
      <c r="J26">
        <f>+G26</f>
        <v>-1.4572499996575061E-2</v>
      </c>
      <c r="O26">
        <f t="shared" ca="1" si="3"/>
        <v>-1.4500296510010169E-2</v>
      </c>
      <c r="Q26" s="2">
        <f t="shared" si="4"/>
        <v>38749.950100000002</v>
      </c>
    </row>
    <row r="27" spans="1:17" x14ac:dyDescent="0.2">
      <c r="A27" s="11" t="s">
        <v>38</v>
      </c>
      <c r="B27" s="37" t="s">
        <v>29</v>
      </c>
      <c r="C27" s="13">
        <v>54002.586799999997</v>
      </c>
      <c r="D27" s="13">
        <v>6.9999999999999999E-4</v>
      </c>
      <c r="E27">
        <f t="shared" si="0"/>
        <v>42816.975470949757</v>
      </c>
      <c r="F27">
        <f t="shared" si="1"/>
        <v>42817</v>
      </c>
      <c r="G27">
        <f t="shared" si="2"/>
        <v>-1.4650899996922817E-2</v>
      </c>
      <c r="J27">
        <f>+G27</f>
        <v>-1.4650899996922817E-2</v>
      </c>
      <c r="O27">
        <f t="shared" ca="1" si="3"/>
        <v>-1.4525448105367784E-2</v>
      </c>
      <c r="Q27" s="2">
        <f t="shared" si="4"/>
        <v>38984.086799999997</v>
      </c>
    </row>
    <row r="28" spans="1:17" x14ac:dyDescent="0.2">
      <c r="A28" s="11" t="s">
        <v>38</v>
      </c>
      <c r="B28" s="37" t="s">
        <v>29</v>
      </c>
      <c r="C28" s="13">
        <v>54035.436600000001</v>
      </c>
      <c r="D28" s="13">
        <v>6.9999999999999999E-4</v>
      </c>
      <c r="E28">
        <f t="shared" si="0"/>
        <v>42871.973757370193</v>
      </c>
      <c r="F28">
        <f t="shared" si="1"/>
        <v>42872</v>
      </c>
      <c r="G28">
        <f t="shared" si="2"/>
        <v>-1.5674399997806177E-2</v>
      </c>
      <c r="J28">
        <f>+G28</f>
        <v>-1.5674399997806177E-2</v>
      </c>
      <c r="O28">
        <f t="shared" ca="1" si="3"/>
        <v>-1.4528977028185817E-2</v>
      </c>
      <c r="Q28" s="2">
        <f t="shared" si="4"/>
        <v>39016.936600000001</v>
      </c>
    </row>
    <row r="29" spans="1:17" x14ac:dyDescent="0.2">
      <c r="A29" s="11" t="s">
        <v>38</v>
      </c>
      <c r="B29" s="37" t="s">
        <v>29</v>
      </c>
      <c r="C29" s="13">
        <v>54085.606399999997</v>
      </c>
      <c r="D29" s="13">
        <v>3.3E-3</v>
      </c>
      <c r="E29">
        <f t="shared" si="0"/>
        <v>42955.969794790682</v>
      </c>
      <c r="F29">
        <f t="shared" si="1"/>
        <v>42956</v>
      </c>
      <c r="G29">
        <f t="shared" si="2"/>
        <v>-1.8041199997242074E-2</v>
      </c>
      <c r="J29">
        <f>+G29</f>
        <v>-1.8041199997242074E-2</v>
      </c>
      <c r="O29">
        <f t="shared" ca="1" si="3"/>
        <v>-1.453436665576245E-2</v>
      </c>
      <c r="Q29" s="2">
        <f t="shared" si="4"/>
        <v>39067.106399999997</v>
      </c>
    </row>
    <row r="30" spans="1:17" x14ac:dyDescent="0.2">
      <c r="A30" s="11" t="s">
        <v>43</v>
      </c>
      <c r="B30" s="12" t="s">
        <v>29</v>
      </c>
      <c r="C30" s="13">
        <v>54308.398419999998</v>
      </c>
      <c r="D30" s="13">
        <v>1E-4</v>
      </c>
      <c r="E30">
        <f t="shared" si="0"/>
        <v>43328.97600268681</v>
      </c>
      <c r="F30">
        <f t="shared" si="1"/>
        <v>43329</v>
      </c>
      <c r="G30">
        <f t="shared" si="2"/>
        <v>-1.4333300001453608E-2</v>
      </c>
      <c r="K30">
        <f>+G30</f>
        <v>-1.4333300001453608E-2</v>
      </c>
      <c r="O30">
        <f t="shared" ca="1" si="3"/>
        <v>-1.4558299168692019E-2</v>
      </c>
      <c r="Q30" s="2">
        <f t="shared" si="4"/>
        <v>39289.898419999998</v>
      </c>
    </row>
    <row r="31" spans="1:17" x14ac:dyDescent="0.2">
      <c r="A31" s="58" t="s">
        <v>123</v>
      </c>
      <c r="B31" s="57" t="s">
        <v>49</v>
      </c>
      <c r="C31" s="58">
        <v>54374.4041</v>
      </c>
      <c r="D31" s="58" t="s">
        <v>65</v>
      </c>
      <c r="E31" s="40">
        <f t="shared" si="0"/>
        <v>43439.485025390612</v>
      </c>
      <c r="F31">
        <f t="shared" si="1"/>
        <v>43439.5</v>
      </c>
      <c r="G31">
        <f t="shared" si="2"/>
        <v>-8.944150002207607E-3</v>
      </c>
      <c r="K31">
        <f>+G31</f>
        <v>-8.944150002207607E-3</v>
      </c>
      <c r="O31">
        <f t="shared" ca="1" si="3"/>
        <v>-1.4565389095444612E-2</v>
      </c>
      <c r="Q31" s="2">
        <f t="shared" si="4"/>
        <v>39355.9041</v>
      </c>
    </row>
    <row r="32" spans="1:17" x14ac:dyDescent="0.2">
      <c r="A32" s="13" t="s">
        <v>40</v>
      </c>
      <c r="B32" s="12" t="s">
        <v>29</v>
      </c>
      <c r="C32" s="13">
        <v>54454.435400000002</v>
      </c>
      <c r="D32" s="13">
        <v>1E-3</v>
      </c>
      <c r="E32" s="40">
        <f t="shared" si="0"/>
        <v>43573.476232642999</v>
      </c>
      <c r="F32">
        <f t="shared" si="1"/>
        <v>43573.5</v>
      </c>
      <c r="G32">
        <f t="shared" si="2"/>
        <v>-1.4195949996064883E-2</v>
      </c>
      <c r="J32">
        <f>+G32</f>
        <v>-1.4195949996064883E-2</v>
      </c>
      <c r="O32">
        <f t="shared" ca="1" si="3"/>
        <v>-1.4573986834674001E-2</v>
      </c>
      <c r="Q32" s="2">
        <f t="shared" si="4"/>
        <v>39435.935400000002</v>
      </c>
    </row>
    <row r="33" spans="1:17" x14ac:dyDescent="0.2">
      <c r="A33" s="58" t="s">
        <v>133</v>
      </c>
      <c r="B33" s="57" t="s">
        <v>49</v>
      </c>
      <c r="C33" s="58">
        <v>54718.434399999998</v>
      </c>
      <c r="D33" s="58" t="s">
        <v>65</v>
      </c>
      <c r="E33" s="40">
        <f t="shared" si="0"/>
        <v>44015.472610602897</v>
      </c>
      <c r="F33">
        <f t="shared" si="1"/>
        <v>44015.5</v>
      </c>
      <c r="G33">
        <f t="shared" si="2"/>
        <v>-1.6359350003767759E-2</v>
      </c>
      <c r="K33">
        <f>+G33</f>
        <v>-1.6359350003767759E-2</v>
      </c>
      <c r="O33">
        <f t="shared" ca="1" si="3"/>
        <v>-1.4602346541684373E-2</v>
      </c>
      <c r="Q33" s="2">
        <f t="shared" si="4"/>
        <v>39699.934399999998</v>
      </c>
    </row>
    <row r="34" spans="1:17" x14ac:dyDescent="0.2">
      <c r="A34" s="38" t="s">
        <v>48</v>
      </c>
      <c r="B34" s="39" t="s">
        <v>29</v>
      </c>
      <c r="C34" s="38">
        <v>54830.4277</v>
      </c>
      <c r="D34" s="38">
        <v>2.0000000000000001E-4</v>
      </c>
      <c r="E34" s="40">
        <f t="shared" si="0"/>
        <v>44202.975718401707</v>
      </c>
      <c r="F34">
        <f t="shared" si="1"/>
        <v>44203</v>
      </c>
      <c r="G34">
        <f t="shared" si="2"/>
        <v>-1.4503099999274127E-2</v>
      </c>
      <c r="J34">
        <f>+G34</f>
        <v>-1.4503099999274127E-2</v>
      </c>
      <c r="O34">
        <f t="shared" ca="1" si="3"/>
        <v>-1.4614376960382213E-2</v>
      </c>
      <c r="Q34" s="2">
        <f t="shared" si="4"/>
        <v>39811.9277</v>
      </c>
    </row>
    <row r="35" spans="1:17" x14ac:dyDescent="0.2">
      <c r="A35" s="38" t="s">
        <v>48</v>
      </c>
      <c r="B35" s="39" t="s">
        <v>49</v>
      </c>
      <c r="C35" s="38">
        <v>54841.480900000002</v>
      </c>
      <c r="D35" s="38">
        <v>5.4999999999999997E-3</v>
      </c>
      <c r="E35" s="40">
        <f t="shared" si="0"/>
        <v>44221.481373214287</v>
      </c>
      <c r="F35">
        <f t="shared" si="1"/>
        <v>44221.5</v>
      </c>
      <c r="G35">
        <f t="shared" si="2"/>
        <v>-1.1125550001452211E-2</v>
      </c>
      <c r="J35">
        <f>+G35</f>
        <v>-1.1125550001452211E-2</v>
      </c>
      <c r="O35">
        <f t="shared" ca="1" si="3"/>
        <v>-1.4615563961693733E-2</v>
      </c>
      <c r="Q35" s="2">
        <f t="shared" si="4"/>
        <v>39822.980900000002</v>
      </c>
    </row>
    <row r="36" spans="1:17" x14ac:dyDescent="0.2">
      <c r="A36" s="58" t="s">
        <v>147</v>
      </c>
      <c r="B36" s="57" t="s">
        <v>49</v>
      </c>
      <c r="C36" s="58">
        <v>55096.518700000001</v>
      </c>
      <c r="D36" s="58" t="s">
        <v>65</v>
      </c>
      <c r="E36" s="40">
        <f t="shared" si="0"/>
        <v>44648.474596078238</v>
      </c>
      <c r="F36">
        <f t="shared" si="1"/>
        <v>44648.5</v>
      </c>
      <c r="G36">
        <f t="shared" si="2"/>
        <v>-1.5173449995927513E-2</v>
      </c>
      <c r="K36">
        <f>+G36</f>
        <v>-1.5173449995927513E-2</v>
      </c>
      <c r="O36">
        <f t="shared" ca="1" si="3"/>
        <v>-1.4642961235208279E-2</v>
      </c>
      <c r="Q36" s="2">
        <f t="shared" si="4"/>
        <v>40078.018700000001</v>
      </c>
    </row>
    <row r="37" spans="1:17" x14ac:dyDescent="0.2">
      <c r="A37" s="58" t="s">
        <v>147</v>
      </c>
      <c r="B37" s="57" t="s">
        <v>49</v>
      </c>
      <c r="C37" s="58">
        <v>55108.469100000002</v>
      </c>
      <c r="D37" s="58" t="s">
        <v>65</v>
      </c>
      <c r="E37" s="40">
        <f t="shared" si="0"/>
        <v>44668.482374574269</v>
      </c>
      <c r="F37">
        <f t="shared" si="1"/>
        <v>44668.5</v>
      </c>
      <c r="G37">
        <f t="shared" si="2"/>
        <v>-1.0527449994697236E-2</v>
      </c>
      <c r="K37">
        <f>+G37</f>
        <v>-1.0527449994697236E-2</v>
      </c>
      <c r="O37">
        <f t="shared" ca="1" si="3"/>
        <v>-1.4644244479869383E-2</v>
      </c>
      <c r="Q37" s="2">
        <f t="shared" si="4"/>
        <v>40089.969100000002</v>
      </c>
    </row>
    <row r="38" spans="1:17" x14ac:dyDescent="0.2">
      <c r="A38" s="43" t="s">
        <v>55</v>
      </c>
      <c r="B38" s="43"/>
      <c r="C38" s="41">
        <v>55409.498699999996</v>
      </c>
      <c r="D38" s="41">
        <v>3.0000000000000001E-3</v>
      </c>
      <c r="E38" s="40">
        <f t="shared" si="0"/>
        <v>45172.476680835716</v>
      </c>
      <c r="F38">
        <f t="shared" si="1"/>
        <v>45172.5</v>
      </c>
      <c r="G38">
        <f t="shared" si="2"/>
        <v>-1.3928250002209097E-2</v>
      </c>
      <c r="J38">
        <f>+G38</f>
        <v>-1.3928250002209097E-2</v>
      </c>
      <c r="O38">
        <f t="shared" ca="1" si="3"/>
        <v>-1.4676582245329174E-2</v>
      </c>
      <c r="Q38" s="2">
        <f t="shared" si="4"/>
        <v>40390.998699999996</v>
      </c>
    </row>
    <row r="39" spans="1:17" x14ac:dyDescent="0.2">
      <c r="A39" s="58" t="s">
        <v>47</v>
      </c>
      <c r="B39" s="57" t="s">
        <v>29</v>
      </c>
      <c r="C39" s="58">
        <v>55471.316700000003</v>
      </c>
      <c r="D39" s="58" t="s">
        <v>65</v>
      </c>
      <c r="E39" s="40">
        <f t="shared" si="0"/>
        <v>45275.974542921285</v>
      </c>
      <c r="F39">
        <f t="shared" si="1"/>
        <v>45276</v>
      </c>
      <c r="G39">
        <f t="shared" si="2"/>
        <v>-1.5205199997581076E-2</v>
      </c>
      <c r="K39">
        <f>+G39</f>
        <v>-1.5205199997581076E-2</v>
      </c>
      <c r="O39">
        <f t="shared" ca="1" si="3"/>
        <v>-1.4683223036450383E-2</v>
      </c>
      <c r="Q39" s="2">
        <f t="shared" si="4"/>
        <v>40452.816700000003</v>
      </c>
    </row>
    <row r="40" spans="1:17" x14ac:dyDescent="0.2">
      <c r="A40" s="11" t="s">
        <v>47</v>
      </c>
      <c r="B40" s="12" t="s">
        <v>29</v>
      </c>
      <c r="C40" s="13">
        <v>55471.316740000002</v>
      </c>
      <c r="D40" s="13">
        <v>1E-4</v>
      </c>
      <c r="E40" s="40">
        <f t="shared" si="0"/>
        <v>45275.974609890683</v>
      </c>
      <c r="F40">
        <f t="shared" si="1"/>
        <v>45276</v>
      </c>
      <c r="G40">
        <f t="shared" si="2"/>
        <v>-1.5165199998591561E-2</v>
      </c>
      <c r="K40">
        <f>+G40</f>
        <v>-1.5165199998591561E-2</v>
      </c>
      <c r="O40">
        <f t="shared" ca="1" si="3"/>
        <v>-1.4683223036450383E-2</v>
      </c>
      <c r="Q40" s="2">
        <f t="shared" si="4"/>
        <v>40452.816740000002</v>
      </c>
    </row>
    <row r="41" spans="1:17" x14ac:dyDescent="0.2">
      <c r="A41" s="11" t="s">
        <v>44</v>
      </c>
      <c r="B41" s="12" t="s">
        <v>29</v>
      </c>
      <c r="C41" s="13">
        <v>55513.724199999997</v>
      </c>
      <c r="D41" s="13">
        <v>1E-4</v>
      </c>
      <c r="E41" s="40">
        <f t="shared" si="0"/>
        <v>45346.974665642701</v>
      </c>
      <c r="F41">
        <f t="shared" si="1"/>
        <v>45347</v>
      </c>
      <c r="G41">
        <f t="shared" si="2"/>
        <v>-1.5131899999687448E-2</v>
      </c>
      <c r="K41">
        <f>+G41</f>
        <v>-1.5131899999687448E-2</v>
      </c>
      <c r="O41">
        <f t="shared" ca="1" si="3"/>
        <v>-1.4687778554997297E-2</v>
      </c>
      <c r="Q41" s="2">
        <f t="shared" si="4"/>
        <v>40495.224199999997</v>
      </c>
    </row>
    <row r="42" spans="1:17" x14ac:dyDescent="0.2">
      <c r="A42" s="38" t="s">
        <v>50</v>
      </c>
      <c r="B42" s="39" t="s">
        <v>29</v>
      </c>
      <c r="C42" s="38">
        <v>55776.531799999997</v>
      </c>
      <c r="D42" s="38">
        <v>2.3999999999999998E-3</v>
      </c>
      <c r="E42" s="40">
        <f t="shared" si="0"/>
        <v>45786.976359968568</v>
      </c>
      <c r="F42">
        <f t="shared" si="1"/>
        <v>45787</v>
      </c>
      <c r="G42">
        <f t="shared" si="2"/>
        <v>-1.4119900006335229E-2</v>
      </c>
      <c r="J42">
        <f>+G42</f>
        <v>-1.4119900006335229E-2</v>
      </c>
      <c r="O42">
        <f t="shared" ca="1" si="3"/>
        <v>-1.471600993754156E-2</v>
      </c>
      <c r="Q42" s="2">
        <f t="shared" si="4"/>
        <v>40758.031799999997</v>
      </c>
    </row>
    <row r="43" spans="1:17" x14ac:dyDescent="0.2">
      <c r="A43" s="11" t="s">
        <v>52</v>
      </c>
      <c r="B43" s="12" t="s">
        <v>49</v>
      </c>
      <c r="C43" s="13">
        <v>56133.410799999998</v>
      </c>
      <c r="D43" s="13">
        <v>6.4000000000000003E-3</v>
      </c>
      <c r="E43" s="40">
        <f t="shared" si="0"/>
        <v>46384.475689018873</v>
      </c>
      <c r="F43">
        <f t="shared" si="1"/>
        <v>46384.5</v>
      </c>
      <c r="G43">
        <f t="shared" si="2"/>
        <v>-1.4520650001941249E-2</v>
      </c>
      <c r="J43">
        <f>+G43</f>
        <v>-1.4520650001941249E-2</v>
      </c>
      <c r="O43">
        <f t="shared" ca="1" si="3"/>
        <v>-1.4754346871792008E-2</v>
      </c>
      <c r="Q43" s="2">
        <f t="shared" si="4"/>
        <v>41114.910799999998</v>
      </c>
    </row>
    <row r="44" spans="1:17" x14ac:dyDescent="0.2">
      <c r="A44" s="11" t="s">
        <v>51</v>
      </c>
      <c r="B44" s="12" t="s">
        <v>29</v>
      </c>
      <c r="C44" s="13">
        <v>56256.750999999997</v>
      </c>
      <c r="D44" s="13">
        <v>3.0000000000000003E-4</v>
      </c>
      <c r="E44" s="40">
        <f t="shared" si="0"/>
        <v>46590.976174463322</v>
      </c>
      <c r="F44">
        <f t="shared" si="1"/>
        <v>46591</v>
      </c>
      <c r="G44">
        <f t="shared" si="2"/>
        <v>-1.4230699998734053E-2</v>
      </c>
      <c r="K44">
        <f>+G44</f>
        <v>-1.4230699998734053E-2</v>
      </c>
      <c r="O44">
        <f t="shared" ca="1" si="3"/>
        <v>-1.4767596372917895E-2</v>
      </c>
      <c r="Q44" s="2">
        <f t="shared" si="4"/>
        <v>41238.250999999997</v>
      </c>
    </row>
    <row r="45" spans="1:17" x14ac:dyDescent="0.2">
      <c r="A45" s="36" t="s">
        <v>53</v>
      </c>
      <c r="B45" s="37" t="s">
        <v>29</v>
      </c>
      <c r="C45" s="13">
        <v>56713.373200000002</v>
      </c>
      <c r="D45" s="42">
        <v>1.2999999999999999E-3</v>
      </c>
      <c r="E45" s="40">
        <f t="shared" si="0"/>
        <v>47355.469064573073</v>
      </c>
      <c r="F45">
        <f t="shared" si="1"/>
        <v>47355.5</v>
      </c>
      <c r="G45">
        <f t="shared" si="2"/>
        <v>-1.8477349993190728E-2</v>
      </c>
      <c r="J45">
        <f>+G45</f>
        <v>-1.8477349993190728E-2</v>
      </c>
      <c r="O45">
        <f t="shared" ca="1" si="3"/>
        <v>-1.4816648400088553E-2</v>
      </c>
      <c r="Q45" s="2">
        <f t="shared" si="4"/>
        <v>41694.873200000002</v>
      </c>
    </row>
    <row r="46" spans="1:17" x14ac:dyDescent="0.2">
      <c r="A46" s="36" t="s">
        <v>53</v>
      </c>
      <c r="B46" s="37" t="s">
        <v>29</v>
      </c>
      <c r="C46" s="13">
        <v>56713.674500000001</v>
      </c>
      <c r="D46" s="42">
        <v>1.2999999999999999E-3</v>
      </c>
      <c r="E46" s="40">
        <f t="shared" si="0"/>
        <v>47355.973511592492</v>
      </c>
      <c r="F46">
        <f t="shared" si="1"/>
        <v>47356</v>
      </c>
      <c r="G46">
        <f t="shared" si="2"/>
        <v>-1.5821200002392288E-2</v>
      </c>
      <c r="J46">
        <f>+G46</f>
        <v>-1.5821200002392288E-2</v>
      </c>
      <c r="O46">
        <f t="shared" ca="1" si="3"/>
        <v>-1.4816680481205081E-2</v>
      </c>
      <c r="Q46" s="2">
        <f t="shared" si="4"/>
        <v>41695.174500000001</v>
      </c>
    </row>
    <row r="47" spans="1:17" x14ac:dyDescent="0.2">
      <c r="B47" s="5"/>
      <c r="D47" s="5"/>
    </row>
    <row r="48" spans="1:17" x14ac:dyDescent="0.2">
      <c r="B48" s="5"/>
      <c r="D48" s="5"/>
    </row>
    <row r="49" spans="2:4" x14ac:dyDescent="0.2">
      <c r="B49" s="5"/>
      <c r="D49" s="5"/>
    </row>
    <row r="50" spans="2:4" x14ac:dyDescent="0.2">
      <c r="B50" s="5"/>
      <c r="D50" s="5"/>
    </row>
    <row r="51" spans="2:4" x14ac:dyDescent="0.2">
      <c r="B51" s="5"/>
    </row>
    <row r="52" spans="2:4" x14ac:dyDescent="0.2">
      <c r="B52" s="5"/>
    </row>
    <row r="53" spans="2:4" x14ac:dyDescent="0.2">
      <c r="B53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9"/>
  <sheetViews>
    <sheetView workbookViewId="0">
      <selection activeCell="A30" sqref="A30:D35"/>
    </sheetView>
  </sheetViews>
  <sheetFormatPr defaultRowHeight="12.75" x14ac:dyDescent="0.2"/>
  <cols>
    <col min="1" max="1" width="19.7109375" style="14" customWidth="1"/>
    <col min="2" max="2" width="4.42578125" style="10" customWidth="1"/>
    <col min="3" max="3" width="12.7109375" style="1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56</v>
      </c>
      <c r="I1" s="45" t="s">
        <v>57</v>
      </c>
      <c r="J1" s="46" t="s">
        <v>42</v>
      </c>
    </row>
    <row r="2" spans="1:16" x14ac:dyDescent="0.2">
      <c r="I2" s="47" t="s">
        <v>58</v>
      </c>
      <c r="J2" s="48" t="s">
        <v>59</v>
      </c>
    </row>
    <row r="3" spans="1:16" x14ac:dyDescent="0.2">
      <c r="A3" s="49" t="s">
        <v>60</v>
      </c>
      <c r="I3" s="47" t="s">
        <v>61</v>
      </c>
      <c r="J3" s="48" t="s">
        <v>62</v>
      </c>
    </row>
    <row r="4" spans="1:16" x14ac:dyDescent="0.2">
      <c r="I4" s="47" t="s">
        <v>63</v>
      </c>
      <c r="J4" s="48" t="s">
        <v>62</v>
      </c>
    </row>
    <row r="5" spans="1:16" ht="13.5" thickBot="1" x14ac:dyDescent="0.25">
      <c r="I5" s="50" t="s">
        <v>64</v>
      </c>
      <c r="J5" s="51" t="s">
        <v>65</v>
      </c>
    </row>
    <row r="10" spans="1:16" ht="13.5" thickBot="1" x14ac:dyDescent="0.25"/>
    <row r="11" spans="1:16" ht="12.75" customHeight="1" thickBot="1" x14ac:dyDescent="0.25">
      <c r="A11" s="14" t="str">
        <f t="shared" ref="A11:A35" si="0">P11</f>
        <v> BBS 127 </v>
      </c>
      <c r="B11" s="5" t="str">
        <f t="shared" ref="B11:B35" si="1">IF(H11=INT(H11),"I","II")</f>
        <v>I</v>
      </c>
      <c r="C11" s="14">
        <f t="shared" ref="C11:C35" si="2">1*G11</f>
        <v>52205.347800000003</v>
      </c>
      <c r="D11" s="10" t="str">
        <f t="shared" ref="D11:D35" si="3">VLOOKUP(F11,I$1:J$5,2,FALSE)</f>
        <v>vis</v>
      </c>
      <c r="E11" s="52" t="e">
        <f>VLOOKUP(C11,Active!C$21:E$972,3,FALSE)</f>
        <v>#N/A</v>
      </c>
      <c r="F11" s="5" t="s">
        <v>64</v>
      </c>
      <c r="G11" s="10" t="str">
        <f t="shared" ref="G11:G35" si="4">MID(I11,3,LEN(I11)-3)</f>
        <v>52205.3478</v>
      </c>
      <c r="H11" s="14">
        <f t="shared" ref="H11:H35" si="5">1*K11</f>
        <v>39808</v>
      </c>
      <c r="I11" s="53" t="s">
        <v>66</v>
      </c>
      <c r="J11" s="54" t="s">
        <v>67</v>
      </c>
      <c r="K11" s="53">
        <v>39808</v>
      </c>
      <c r="L11" s="53" t="s">
        <v>68</v>
      </c>
      <c r="M11" s="54" t="s">
        <v>69</v>
      </c>
      <c r="N11" s="54" t="s">
        <v>70</v>
      </c>
      <c r="O11" s="55" t="s">
        <v>71</v>
      </c>
      <c r="P11" s="55" t="s">
        <v>72</v>
      </c>
    </row>
    <row r="12" spans="1:16" ht="12.75" customHeight="1" thickBot="1" x14ac:dyDescent="0.25">
      <c r="A12" s="14" t="str">
        <f t="shared" si="0"/>
        <v>OEJV 0074 </v>
      </c>
      <c r="B12" s="5" t="str">
        <f t="shared" si="1"/>
        <v>I</v>
      </c>
      <c r="C12" s="14">
        <f t="shared" si="2"/>
        <v>52205.348760000001</v>
      </c>
      <c r="D12" s="10" t="str">
        <f t="shared" si="3"/>
        <v>vis</v>
      </c>
      <c r="E12" s="52">
        <f>VLOOKUP(C12,Active!C$21:E$972,3,FALSE)</f>
        <v>39807.976558030583</v>
      </c>
      <c r="F12" s="5" t="s">
        <v>64</v>
      </c>
      <c r="G12" s="10" t="str">
        <f t="shared" si="4"/>
        <v>52205.34876</v>
      </c>
      <c r="H12" s="14">
        <f t="shared" si="5"/>
        <v>39808</v>
      </c>
      <c r="I12" s="53" t="s">
        <v>73</v>
      </c>
      <c r="J12" s="54" t="s">
        <v>74</v>
      </c>
      <c r="K12" s="53">
        <v>39808</v>
      </c>
      <c r="L12" s="53" t="s">
        <v>75</v>
      </c>
      <c r="M12" s="54" t="s">
        <v>76</v>
      </c>
      <c r="N12" s="54" t="s">
        <v>77</v>
      </c>
      <c r="O12" s="55" t="s">
        <v>78</v>
      </c>
      <c r="P12" s="56" t="s">
        <v>79</v>
      </c>
    </row>
    <row r="13" spans="1:16" ht="12.75" customHeight="1" thickBot="1" x14ac:dyDescent="0.25">
      <c r="A13" s="14" t="str">
        <f t="shared" si="0"/>
        <v>IBVS 5583 </v>
      </c>
      <c r="B13" s="5" t="str">
        <f t="shared" si="1"/>
        <v>I</v>
      </c>
      <c r="C13" s="14">
        <f t="shared" si="2"/>
        <v>52684.373200000002</v>
      </c>
      <c r="D13" s="10" t="str">
        <f t="shared" si="3"/>
        <v>vis</v>
      </c>
      <c r="E13" s="52">
        <f>VLOOKUP(C13,Active!C$21:E$972,3,FALSE)</f>
        <v>40609.976063461552</v>
      </c>
      <c r="F13" s="5" t="s">
        <v>64</v>
      </c>
      <c r="G13" s="10" t="str">
        <f t="shared" si="4"/>
        <v>52684.3732</v>
      </c>
      <c r="H13" s="14">
        <f t="shared" si="5"/>
        <v>40610</v>
      </c>
      <c r="I13" s="53" t="s">
        <v>80</v>
      </c>
      <c r="J13" s="54" t="s">
        <v>81</v>
      </c>
      <c r="K13" s="53">
        <v>40610</v>
      </c>
      <c r="L13" s="53" t="s">
        <v>82</v>
      </c>
      <c r="M13" s="54" t="s">
        <v>69</v>
      </c>
      <c r="N13" s="54" t="s">
        <v>70</v>
      </c>
      <c r="O13" s="55" t="s">
        <v>83</v>
      </c>
      <c r="P13" s="56" t="s">
        <v>84</v>
      </c>
    </row>
    <row r="14" spans="1:16" ht="12.75" customHeight="1" thickBot="1" x14ac:dyDescent="0.25">
      <c r="A14" s="14" t="str">
        <f t="shared" si="0"/>
        <v> BBS 129 </v>
      </c>
      <c r="B14" s="5" t="str">
        <f t="shared" si="1"/>
        <v>I</v>
      </c>
      <c r="C14" s="14">
        <f t="shared" si="2"/>
        <v>52693.330800000003</v>
      </c>
      <c r="D14" s="10" t="str">
        <f t="shared" si="3"/>
        <v>vis</v>
      </c>
      <c r="E14" s="52">
        <f>VLOOKUP(C14,Active!C$21:E$972,3,FALSE)</f>
        <v>40624.973191311328</v>
      </c>
      <c r="F14" s="5" t="s">
        <v>64</v>
      </c>
      <c r="G14" s="10" t="str">
        <f t="shared" si="4"/>
        <v>52693.3308</v>
      </c>
      <c r="H14" s="14">
        <f t="shared" si="5"/>
        <v>40625</v>
      </c>
      <c r="I14" s="53" t="s">
        <v>85</v>
      </c>
      <c r="J14" s="54" t="s">
        <v>86</v>
      </c>
      <c r="K14" s="53">
        <v>40625</v>
      </c>
      <c r="L14" s="53" t="s">
        <v>87</v>
      </c>
      <c r="M14" s="54" t="s">
        <v>69</v>
      </c>
      <c r="N14" s="54" t="s">
        <v>70</v>
      </c>
      <c r="O14" s="55" t="s">
        <v>71</v>
      </c>
      <c r="P14" s="55" t="s">
        <v>88</v>
      </c>
    </row>
    <row r="15" spans="1:16" ht="12.75" customHeight="1" thickBot="1" x14ac:dyDescent="0.25">
      <c r="A15" s="14" t="str">
        <f t="shared" si="0"/>
        <v>OEJV 0074 </v>
      </c>
      <c r="B15" s="5" t="str">
        <f t="shared" si="1"/>
        <v>I</v>
      </c>
      <c r="C15" s="14">
        <f t="shared" si="2"/>
        <v>52875.503559999997</v>
      </c>
      <c r="D15" s="10" t="str">
        <f t="shared" si="3"/>
        <v>vis</v>
      </c>
      <c r="E15" s="52">
        <f>VLOOKUP(C15,Active!C$21:E$972,3,FALSE)</f>
        <v>40929.973210565026</v>
      </c>
      <c r="F15" s="5" t="s">
        <v>64</v>
      </c>
      <c r="G15" s="10" t="str">
        <f t="shared" si="4"/>
        <v>52875.50356</v>
      </c>
      <c r="H15" s="14">
        <f t="shared" si="5"/>
        <v>40930</v>
      </c>
      <c r="I15" s="53" t="s">
        <v>89</v>
      </c>
      <c r="J15" s="54" t="s">
        <v>90</v>
      </c>
      <c r="K15" s="53">
        <v>40930</v>
      </c>
      <c r="L15" s="53" t="s">
        <v>91</v>
      </c>
      <c r="M15" s="54" t="s">
        <v>76</v>
      </c>
      <c r="N15" s="54" t="s">
        <v>77</v>
      </c>
      <c r="O15" s="55" t="s">
        <v>92</v>
      </c>
      <c r="P15" s="56" t="s">
        <v>79</v>
      </c>
    </row>
    <row r="16" spans="1:16" ht="12.75" customHeight="1" thickBot="1" x14ac:dyDescent="0.25">
      <c r="A16" s="14" t="str">
        <f t="shared" si="0"/>
        <v>BAVM 178 </v>
      </c>
      <c r="B16" s="5" t="str">
        <f t="shared" si="1"/>
        <v>I</v>
      </c>
      <c r="C16" s="14">
        <f t="shared" si="2"/>
        <v>53768.450100000002</v>
      </c>
      <c r="D16" s="10" t="str">
        <f t="shared" si="3"/>
        <v>vis</v>
      </c>
      <c r="E16" s="52">
        <f>VLOOKUP(C16,Active!C$21:E$972,3,FALSE)</f>
        <v>42424.975602209794</v>
      </c>
      <c r="F16" s="5" t="s">
        <v>64</v>
      </c>
      <c r="G16" s="10" t="str">
        <f t="shared" si="4"/>
        <v>53768.4501</v>
      </c>
      <c r="H16" s="14">
        <f t="shared" si="5"/>
        <v>42425</v>
      </c>
      <c r="I16" s="53" t="s">
        <v>93</v>
      </c>
      <c r="J16" s="54" t="s">
        <v>94</v>
      </c>
      <c r="K16" s="53">
        <v>42425</v>
      </c>
      <c r="L16" s="53" t="s">
        <v>95</v>
      </c>
      <c r="M16" s="54" t="s">
        <v>76</v>
      </c>
      <c r="N16" s="54" t="s">
        <v>96</v>
      </c>
      <c r="O16" s="55" t="s">
        <v>97</v>
      </c>
      <c r="P16" s="56" t="s">
        <v>98</v>
      </c>
    </row>
    <row r="17" spans="1:16" ht="12.75" customHeight="1" thickBot="1" x14ac:dyDescent="0.25">
      <c r="A17" s="14" t="str">
        <f t="shared" si="0"/>
        <v>BAVM 183 </v>
      </c>
      <c r="B17" s="5" t="str">
        <f t="shared" si="1"/>
        <v>I</v>
      </c>
      <c r="C17" s="14">
        <f t="shared" si="2"/>
        <v>54002.586799999997</v>
      </c>
      <c r="D17" s="10" t="str">
        <f t="shared" si="3"/>
        <v>vis</v>
      </c>
      <c r="E17" s="52">
        <f>VLOOKUP(C17,Active!C$21:E$972,3,FALSE)</f>
        <v>42816.975470949757</v>
      </c>
      <c r="F17" s="5" t="s">
        <v>64</v>
      </c>
      <c r="G17" s="10" t="str">
        <f t="shared" si="4"/>
        <v>54002.5868</v>
      </c>
      <c r="H17" s="14">
        <f t="shared" si="5"/>
        <v>42817</v>
      </c>
      <c r="I17" s="53" t="s">
        <v>99</v>
      </c>
      <c r="J17" s="54" t="s">
        <v>100</v>
      </c>
      <c r="K17" s="53" t="s">
        <v>101</v>
      </c>
      <c r="L17" s="53" t="s">
        <v>102</v>
      </c>
      <c r="M17" s="54" t="s">
        <v>76</v>
      </c>
      <c r="N17" s="54" t="s">
        <v>96</v>
      </c>
      <c r="O17" s="55" t="s">
        <v>97</v>
      </c>
      <c r="P17" s="56" t="s">
        <v>103</v>
      </c>
    </row>
    <row r="18" spans="1:16" ht="12.75" customHeight="1" thickBot="1" x14ac:dyDescent="0.25">
      <c r="A18" s="14" t="str">
        <f t="shared" si="0"/>
        <v>BAVM 183 </v>
      </c>
      <c r="B18" s="5" t="str">
        <f t="shared" si="1"/>
        <v>I</v>
      </c>
      <c r="C18" s="14">
        <f t="shared" si="2"/>
        <v>54035.436600000001</v>
      </c>
      <c r="D18" s="10" t="str">
        <f t="shared" si="3"/>
        <v>vis</v>
      </c>
      <c r="E18" s="52">
        <f>VLOOKUP(C18,Active!C$21:E$972,3,FALSE)</f>
        <v>42871.973757370193</v>
      </c>
      <c r="F18" s="5" t="s">
        <v>64</v>
      </c>
      <c r="G18" s="10" t="str">
        <f t="shared" si="4"/>
        <v>54035.4366</v>
      </c>
      <c r="H18" s="14">
        <f t="shared" si="5"/>
        <v>42872</v>
      </c>
      <c r="I18" s="53" t="s">
        <v>104</v>
      </c>
      <c r="J18" s="54" t="s">
        <v>105</v>
      </c>
      <c r="K18" s="53" t="s">
        <v>106</v>
      </c>
      <c r="L18" s="53" t="s">
        <v>107</v>
      </c>
      <c r="M18" s="54" t="s">
        <v>76</v>
      </c>
      <c r="N18" s="54" t="s">
        <v>96</v>
      </c>
      <c r="O18" s="55" t="s">
        <v>97</v>
      </c>
      <c r="P18" s="56" t="s">
        <v>103</v>
      </c>
    </row>
    <row r="19" spans="1:16" ht="12.75" customHeight="1" thickBot="1" x14ac:dyDescent="0.25">
      <c r="A19" s="14" t="str">
        <f t="shared" si="0"/>
        <v>BAVM 183 </v>
      </c>
      <c r="B19" s="5" t="str">
        <f t="shared" si="1"/>
        <v>I</v>
      </c>
      <c r="C19" s="14">
        <f t="shared" si="2"/>
        <v>54085.606399999997</v>
      </c>
      <c r="D19" s="10" t="str">
        <f t="shared" si="3"/>
        <v>vis</v>
      </c>
      <c r="E19" s="52">
        <f>VLOOKUP(C19,Active!C$21:E$972,3,FALSE)</f>
        <v>42955.969794790682</v>
      </c>
      <c r="F19" s="5" t="s">
        <v>64</v>
      </c>
      <c r="G19" s="10" t="str">
        <f t="shared" si="4"/>
        <v>54085.6064</v>
      </c>
      <c r="H19" s="14">
        <f t="shared" si="5"/>
        <v>42956</v>
      </c>
      <c r="I19" s="53" t="s">
        <v>108</v>
      </c>
      <c r="J19" s="54" t="s">
        <v>109</v>
      </c>
      <c r="K19" s="53" t="s">
        <v>110</v>
      </c>
      <c r="L19" s="53" t="s">
        <v>111</v>
      </c>
      <c r="M19" s="54" t="s">
        <v>76</v>
      </c>
      <c r="N19" s="54" t="s">
        <v>96</v>
      </c>
      <c r="O19" s="55" t="s">
        <v>97</v>
      </c>
      <c r="P19" s="56" t="s">
        <v>103</v>
      </c>
    </row>
    <row r="20" spans="1:16" ht="12.75" customHeight="1" thickBot="1" x14ac:dyDescent="0.25">
      <c r="A20" s="14" t="str">
        <f t="shared" si="0"/>
        <v>BAVM 201 </v>
      </c>
      <c r="B20" s="5" t="str">
        <f t="shared" si="1"/>
        <v>II</v>
      </c>
      <c r="C20" s="14">
        <f t="shared" si="2"/>
        <v>54454.435400000002</v>
      </c>
      <c r="D20" s="10" t="str">
        <f t="shared" si="3"/>
        <v>vis</v>
      </c>
      <c r="E20" s="52">
        <f>VLOOKUP(C20,Active!C$21:E$972,3,FALSE)</f>
        <v>43573.476232642999</v>
      </c>
      <c r="F20" s="5" t="s">
        <v>64</v>
      </c>
      <c r="G20" s="10" t="str">
        <f t="shared" si="4"/>
        <v>54454.4354</v>
      </c>
      <c r="H20" s="14">
        <f t="shared" si="5"/>
        <v>43573.5</v>
      </c>
      <c r="I20" s="53" t="s">
        <v>124</v>
      </c>
      <c r="J20" s="54" t="s">
        <v>125</v>
      </c>
      <c r="K20" s="53" t="s">
        <v>126</v>
      </c>
      <c r="L20" s="53" t="s">
        <v>127</v>
      </c>
      <c r="M20" s="54" t="s">
        <v>76</v>
      </c>
      <c r="N20" s="54" t="s">
        <v>96</v>
      </c>
      <c r="O20" s="55" t="s">
        <v>97</v>
      </c>
      <c r="P20" s="56" t="s">
        <v>128</v>
      </c>
    </row>
    <row r="21" spans="1:16" ht="12.75" customHeight="1" thickBot="1" x14ac:dyDescent="0.25">
      <c r="A21" s="14" t="str">
        <f t="shared" si="0"/>
        <v>BAVM 209 </v>
      </c>
      <c r="B21" s="5" t="str">
        <f t="shared" si="1"/>
        <v>I</v>
      </c>
      <c r="C21" s="14">
        <f t="shared" si="2"/>
        <v>54830.4277</v>
      </c>
      <c r="D21" s="10" t="str">
        <f t="shared" si="3"/>
        <v>vis</v>
      </c>
      <c r="E21" s="52">
        <f>VLOOKUP(C21,Active!C$21:E$972,3,FALSE)</f>
        <v>44202.975718401707</v>
      </c>
      <c r="F21" s="5" t="s">
        <v>64</v>
      </c>
      <c r="G21" s="10" t="str">
        <f t="shared" si="4"/>
        <v>54830.4277</v>
      </c>
      <c r="H21" s="14">
        <f t="shared" si="5"/>
        <v>44203</v>
      </c>
      <c r="I21" s="53" t="s">
        <v>134</v>
      </c>
      <c r="J21" s="54" t="s">
        <v>135</v>
      </c>
      <c r="K21" s="53" t="s">
        <v>136</v>
      </c>
      <c r="L21" s="53" t="s">
        <v>137</v>
      </c>
      <c r="M21" s="54" t="s">
        <v>76</v>
      </c>
      <c r="N21" s="54" t="s">
        <v>96</v>
      </c>
      <c r="O21" s="55" t="s">
        <v>97</v>
      </c>
      <c r="P21" s="56" t="s">
        <v>138</v>
      </c>
    </row>
    <row r="22" spans="1:16" ht="12.75" customHeight="1" thickBot="1" x14ac:dyDescent="0.25">
      <c r="A22" s="14" t="str">
        <f t="shared" si="0"/>
        <v>BAVM 209 </v>
      </c>
      <c r="B22" s="5" t="str">
        <f t="shared" si="1"/>
        <v>II</v>
      </c>
      <c r="C22" s="14">
        <f t="shared" si="2"/>
        <v>54841.480900000002</v>
      </c>
      <c r="D22" s="10" t="str">
        <f t="shared" si="3"/>
        <v>vis</v>
      </c>
      <c r="E22" s="52">
        <f>VLOOKUP(C22,Active!C$21:E$972,3,FALSE)</f>
        <v>44221.481373214287</v>
      </c>
      <c r="F22" s="5" t="s">
        <v>64</v>
      </c>
      <c r="G22" s="10" t="str">
        <f t="shared" si="4"/>
        <v>54841.4809</v>
      </c>
      <c r="H22" s="14">
        <f t="shared" si="5"/>
        <v>44221.5</v>
      </c>
      <c r="I22" s="53" t="s">
        <v>139</v>
      </c>
      <c r="J22" s="54" t="s">
        <v>140</v>
      </c>
      <c r="K22" s="53" t="s">
        <v>141</v>
      </c>
      <c r="L22" s="53" t="s">
        <v>142</v>
      </c>
      <c r="M22" s="54" t="s">
        <v>76</v>
      </c>
      <c r="N22" s="54" t="s">
        <v>96</v>
      </c>
      <c r="O22" s="55" t="s">
        <v>97</v>
      </c>
      <c r="P22" s="56" t="s">
        <v>138</v>
      </c>
    </row>
    <row r="23" spans="1:16" ht="12.75" customHeight="1" thickBot="1" x14ac:dyDescent="0.25">
      <c r="A23" s="14" t="str">
        <f t="shared" si="0"/>
        <v>BAVM 215 </v>
      </c>
      <c r="B23" s="5" t="str">
        <f t="shared" si="1"/>
        <v>II</v>
      </c>
      <c r="C23" s="14">
        <f t="shared" si="2"/>
        <v>55409.498699999996</v>
      </c>
      <c r="D23" s="10" t="str">
        <f t="shared" si="3"/>
        <v>vis</v>
      </c>
      <c r="E23" s="52">
        <f>VLOOKUP(C23,Active!C$21:E$972,3,FALSE)</f>
        <v>45172.476680835716</v>
      </c>
      <c r="F23" s="5" t="s">
        <v>64</v>
      </c>
      <c r="G23" s="10" t="str">
        <f t="shared" si="4"/>
        <v>55409.4987</v>
      </c>
      <c r="H23" s="14">
        <f t="shared" si="5"/>
        <v>45172.5</v>
      </c>
      <c r="I23" s="53" t="s">
        <v>152</v>
      </c>
      <c r="J23" s="54" t="s">
        <v>153</v>
      </c>
      <c r="K23" s="53" t="s">
        <v>154</v>
      </c>
      <c r="L23" s="53" t="s">
        <v>155</v>
      </c>
      <c r="M23" s="54" t="s">
        <v>76</v>
      </c>
      <c r="N23" s="54" t="s">
        <v>96</v>
      </c>
      <c r="O23" s="55" t="s">
        <v>97</v>
      </c>
      <c r="P23" s="56" t="s">
        <v>156</v>
      </c>
    </row>
    <row r="24" spans="1:16" ht="12.75" customHeight="1" thickBot="1" x14ac:dyDescent="0.25">
      <c r="A24" s="14" t="str">
        <f t="shared" si="0"/>
        <v>IBVS 5960 </v>
      </c>
      <c r="B24" s="5" t="str">
        <f t="shared" si="1"/>
        <v>I</v>
      </c>
      <c r="C24" s="14">
        <f t="shared" si="2"/>
        <v>55513.724199999997</v>
      </c>
      <c r="D24" s="10" t="str">
        <f t="shared" si="3"/>
        <v>vis</v>
      </c>
      <c r="E24" s="52">
        <f>VLOOKUP(C24,Active!C$21:E$972,3,FALSE)</f>
        <v>45346.974665642701</v>
      </c>
      <c r="F24" s="5" t="s">
        <v>64</v>
      </c>
      <c r="G24" s="10" t="str">
        <f t="shared" si="4"/>
        <v>55513.7242</v>
      </c>
      <c r="H24" s="14">
        <f t="shared" si="5"/>
        <v>45347</v>
      </c>
      <c r="I24" s="53" t="s">
        <v>161</v>
      </c>
      <c r="J24" s="54" t="s">
        <v>162</v>
      </c>
      <c r="K24" s="53" t="s">
        <v>163</v>
      </c>
      <c r="L24" s="53" t="s">
        <v>164</v>
      </c>
      <c r="M24" s="54" t="s">
        <v>76</v>
      </c>
      <c r="N24" s="54" t="s">
        <v>64</v>
      </c>
      <c r="O24" s="55" t="s">
        <v>165</v>
      </c>
      <c r="P24" s="56" t="s">
        <v>166</v>
      </c>
    </row>
    <row r="25" spans="1:16" ht="12.75" customHeight="1" thickBot="1" x14ac:dyDescent="0.25">
      <c r="A25" s="14" t="str">
        <f t="shared" si="0"/>
        <v>BAVM 220 </v>
      </c>
      <c r="B25" s="5" t="str">
        <f t="shared" si="1"/>
        <v>I</v>
      </c>
      <c r="C25" s="14">
        <f t="shared" si="2"/>
        <v>55776.531799999997</v>
      </c>
      <c r="D25" s="10" t="str">
        <f t="shared" si="3"/>
        <v>vis</v>
      </c>
      <c r="E25" s="52">
        <f>VLOOKUP(C25,Active!C$21:E$972,3,FALSE)</f>
        <v>45786.976359968568</v>
      </c>
      <c r="F25" s="5" t="s">
        <v>64</v>
      </c>
      <c r="G25" s="10" t="str">
        <f t="shared" si="4"/>
        <v>55776.5318</v>
      </c>
      <c r="H25" s="14">
        <f t="shared" si="5"/>
        <v>45787</v>
      </c>
      <c r="I25" s="53" t="s">
        <v>167</v>
      </c>
      <c r="J25" s="54" t="s">
        <v>168</v>
      </c>
      <c r="K25" s="53" t="s">
        <v>169</v>
      </c>
      <c r="L25" s="53" t="s">
        <v>170</v>
      </c>
      <c r="M25" s="54" t="s">
        <v>76</v>
      </c>
      <c r="N25" s="54" t="s">
        <v>96</v>
      </c>
      <c r="O25" s="55" t="s">
        <v>97</v>
      </c>
      <c r="P25" s="56" t="s">
        <v>171</v>
      </c>
    </row>
    <row r="26" spans="1:16" ht="12.75" customHeight="1" thickBot="1" x14ac:dyDescent="0.25">
      <c r="A26" s="14" t="str">
        <f t="shared" si="0"/>
        <v>BAVM 231 </v>
      </c>
      <c r="B26" s="5" t="str">
        <f t="shared" si="1"/>
        <v>II</v>
      </c>
      <c r="C26" s="14">
        <f t="shared" si="2"/>
        <v>56133.410799999998</v>
      </c>
      <c r="D26" s="10" t="str">
        <f t="shared" si="3"/>
        <v>vis</v>
      </c>
      <c r="E26" s="52">
        <f>VLOOKUP(C26,Active!C$21:E$972,3,FALSE)</f>
        <v>46384.475689018873</v>
      </c>
      <c r="F26" s="5" t="s">
        <v>64</v>
      </c>
      <c r="G26" s="10" t="str">
        <f t="shared" si="4"/>
        <v>56133.4108</v>
      </c>
      <c r="H26" s="14">
        <f t="shared" si="5"/>
        <v>46384.5</v>
      </c>
      <c r="I26" s="53" t="s">
        <v>172</v>
      </c>
      <c r="J26" s="54" t="s">
        <v>173</v>
      </c>
      <c r="K26" s="53" t="s">
        <v>174</v>
      </c>
      <c r="L26" s="53" t="s">
        <v>137</v>
      </c>
      <c r="M26" s="54" t="s">
        <v>76</v>
      </c>
      <c r="N26" s="54" t="s">
        <v>96</v>
      </c>
      <c r="O26" s="55" t="s">
        <v>97</v>
      </c>
      <c r="P26" s="56" t="s">
        <v>175</v>
      </c>
    </row>
    <row r="27" spans="1:16" ht="12.75" customHeight="1" thickBot="1" x14ac:dyDescent="0.25">
      <c r="A27" s="14" t="str">
        <f t="shared" si="0"/>
        <v>IBVS 6042 </v>
      </c>
      <c r="B27" s="5" t="str">
        <f t="shared" si="1"/>
        <v>I</v>
      </c>
      <c r="C27" s="14">
        <f t="shared" si="2"/>
        <v>56256.750999999997</v>
      </c>
      <c r="D27" s="10" t="str">
        <f t="shared" si="3"/>
        <v>vis</v>
      </c>
      <c r="E27" s="52">
        <f>VLOOKUP(C27,Active!C$21:E$972,3,FALSE)</f>
        <v>46590.976174463322</v>
      </c>
      <c r="F27" s="5" t="s">
        <v>64</v>
      </c>
      <c r="G27" s="10" t="str">
        <f t="shared" si="4"/>
        <v>56256.751</v>
      </c>
      <c r="H27" s="14">
        <f t="shared" si="5"/>
        <v>46591</v>
      </c>
      <c r="I27" s="53" t="s">
        <v>176</v>
      </c>
      <c r="J27" s="54" t="s">
        <v>177</v>
      </c>
      <c r="K27" s="53" t="s">
        <v>178</v>
      </c>
      <c r="L27" s="53" t="s">
        <v>179</v>
      </c>
      <c r="M27" s="54" t="s">
        <v>76</v>
      </c>
      <c r="N27" s="54" t="s">
        <v>64</v>
      </c>
      <c r="O27" s="55" t="s">
        <v>165</v>
      </c>
      <c r="P27" s="56" t="s">
        <v>180</v>
      </c>
    </row>
    <row r="28" spans="1:16" ht="12.75" customHeight="1" thickBot="1" x14ac:dyDescent="0.25">
      <c r="A28" s="14" t="str">
        <f t="shared" si="0"/>
        <v>BAVM 234 </v>
      </c>
      <c r="B28" s="5" t="str">
        <f t="shared" si="1"/>
        <v>II</v>
      </c>
      <c r="C28" s="14">
        <f t="shared" si="2"/>
        <v>56713.373200000002</v>
      </c>
      <c r="D28" s="10" t="str">
        <f t="shared" si="3"/>
        <v>vis</v>
      </c>
      <c r="E28" s="52">
        <f>VLOOKUP(C28,Active!C$21:E$972,3,FALSE)</f>
        <v>47355.469064573073</v>
      </c>
      <c r="F28" s="5" t="s">
        <v>64</v>
      </c>
      <c r="G28" s="10" t="str">
        <f t="shared" si="4"/>
        <v>56713.3732</v>
      </c>
      <c r="H28" s="14">
        <f t="shared" si="5"/>
        <v>47355.5</v>
      </c>
      <c r="I28" s="53" t="s">
        <v>181</v>
      </c>
      <c r="J28" s="54" t="s">
        <v>182</v>
      </c>
      <c r="K28" s="53" t="s">
        <v>183</v>
      </c>
      <c r="L28" s="53" t="s">
        <v>184</v>
      </c>
      <c r="M28" s="54" t="s">
        <v>76</v>
      </c>
      <c r="N28" s="54" t="s">
        <v>77</v>
      </c>
      <c r="O28" s="55" t="s">
        <v>185</v>
      </c>
      <c r="P28" s="56" t="s">
        <v>186</v>
      </c>
    </row>
    <row r="29" spans="1:16" ht="12.75" customHeight="1" thickBot="1" x14ac:dyDescent="0.25">
      <c r="A29" s="14" t="str">
        <f t="shared" si="0"/>
        <v>BAVM 234 </v>
      </c>
      <c r="B29" s="5" t="str">
        <f t="shared" si="1"/>
        <v>I</v>
      </c>
      <c r="C29" s="14">
        <f t="shared" si="2"/>
        <v>56713.674500000001</v>
      </c>
      <c r="D29" s="10" t="str">
        <f t="shared" si="3"/>
        <v>vis</v>
      </c>
      <c r="E29" s="52">
        <f>VLOOKUP(C29,Active!C$21:E$972,3,FALSE)</f>
        <v>47355.973511592492</v>
      </c>
      <c r="F29" s="5" t="s">
        <v>64</v>
      </c>
      <c r="G29" s="10" t="str">
        <f t="shared" si="4"/>
        <v>56713.6745</v>
      </c>
      <c r="H29" s="14">
        <f t="shared" si="5"/>
        <v>47356</v>
      </c>
      <c r="I29" s="53" t="s">
        <v>187</v>
      </c>
      <c r="J29" s="54" t="s">
        <v>188</v>
      </c>
      <c r="K29" s="53" t="s">
        <v>189</v>
      </c>
      <c r="L29" s="53" t="s">
        <v>190</v>
      </c>
      <c r="M29" s="54" t="s">
        <v>76</v>
      </c>
      <c r="N29" s="54" t="s">
        <v>77</v>
      </c>
      <c r="O29" s="55" t="s">
        <v>185</v>
      </c>
      <c r="P29" s="56" t="s">
        <v>186</v>
      </c>
    </row>
    <row r="30" spans="1:16" ht="12.75" customHeight="1" thickBot="1" x14ac:dyDescent="0.25">
      <c r="A30" s="14" t="str">
        <f t="shared" si="0"/>
        <v>OEJV 0107 </v>
      </c>
      <c r="B30" s="5" t="str">
        <f t="shared" si="1"/>
        <v>I</v>
      </c>
      <c r="C30" s="14">
        <f t="shared" si="2"/>
        <v>54308.398399999998</v>
      </c>
      <c r="D30" s="10" t="str">
        <f t="shared" si="3"/>
        <v>vis</v>
      </c>
      <c r="E30" s="52" t="e">
        <f>VLOOKUP(C30,Active!C$21:E$972,3,FALSE)</f>
        <v>#N/A</v>
      </c>
      <c r="F30" s="5" t="s">
        <v>64</v>
      </c>
      <c r="G30" s="10" t="str">
        <f t="shared" si="4"/>
        <v>54308.3984</v>
      </c>
      <c r="H30" s="14">
        <f t="shared" si="5"/>
        <v>43329</v>
      </c>
      <c r="I30" s="53" t="s">
        <v>112</v>
      </c>
      <c r="J30" s="54" t="s">
        <v>113</v>
      </c>
      <c r="K30" s="53" t="s">
        <v>114</v>
      </c>
      <c r="L30" s="53" t="s">
        <v>115</v>
      </c>
      <c r="M30" s="54" t="s">
        <v>76</v>
      </c>
      <c r="N30" s="54" t="s">
        <v>116</v>
      </c>
      <c r="O30" s="55" t="s">
        <v>117</v>
      </c>
      <c r="P30" s="56" t="s">
        <v>118</v>
      </c>
    </row>
    <row r="31" spans="1:16" ht="12.75" customHeight="1" thickBot="1" x14ac:dyDescent="0.25">
      <c r="A31" s="14" t="str">
        <f t="shared" si="0"/>
        <v>BAVM 193 </v>
      </c>
      <c r="B31" s="5" t="str">
        <f t="shared" si="1"/>
        <v>II</v>
      </c>
      <c r="C31" s="14">
        <f t="shared" si="2"/>
        <v>54374.4041</v>
      </c>
      <c r="D31" s="10" t="str">
        <f t="shared" si="3"/>
        <v>vis</v>
      </c>
      <c r="E31" s="52">
        <f>VLOOKUP(C31,Active!C$21:E$972,3,FALSE)</f>
        <v>43439.485025390612</v>
      </c>
      <c r="F31" s="5" t="s">
        <v>64</v>
      </c>
      <c r="G31" s="10" t="str">
        <f t="shared" si="4"/>
        <v>54374.4041</v>
      </c>
      <c r="H31" s="14">
        <f t="shared" si="5"/>
        <v>43439.5</v>
      </c>
      <c r="I31" s="53" t="s">
        <v>119</v>
      </c>
      <c r="J31" s="54" t="s">
        <v>120</v>
      </c>
      <c r="K31" s="53" t="s">
        <v>121</v>
      </c>
      <c r="L31" s="53" t="s">
        <v>122</v>
      </c>
      <c r="M31" s="54" t="s">
        <v>76</v>
      </c>
      <c r="N31" s="54" t="s">
        <v>96</v>
      </c>
      <c r="O31" s="55" t="s">
        <v>97</v>
      </c>
      <c r="P31" s="56" t="s">
        <v>123</v>
      </c>
    </row>
    <row r="32" spans="1:16" ht="12.75" customHeight="1" thickBot="1" x14ac:dyDescent="0.25">
      <c r="A32" s="14" t="str">
        <f t="shared" si="0"/>
        <v>BAVM 203 </v>
      </c>
      <c r="B32" s="5" t="str">
        <f t="shared" si="1"/>
        <v>II</v>
      </c>
      <c r="C32" s="14">
        <f t="shared" si="2"/>
        <v>54718.434399999998</v>
      </c>
      <c r="D32" s="10" t="str">
        <f t="shared" si="3"/>
        <v>vis</v>
      </c>
      <c r="E32" s="52">
        <f>VLOOKUP(C32,Active!C$21:E$972,3,FALSE)</f>
        <v>44015.472610602897</v>
      </c>
      <c r="F32" s="5" t="s">
        <v>64</v>
      </c>
      <c r="G32" s="10" t="str">
        <f t="shared" si="4"/>
        <v>54718.4344</v>
      </c>
      <c r="H32" s="14">
        <f t="shared" si="5"/>
        <v>44015.5</v>
      </c>
      <c r="I32" s="53" t="s">
        <v>129</v>
      </c>
      <c r="J32" s="54" t="s">
        <v>130</v>
      </c>
      <c r="K32" s="53" t="s">
        <v>131</v>
      </c>
      <c r="L32" s="53" t="s">
        <v>132</v>
      </c>
      <c r="M32" s="54" t="s">
        <v>76</v>
      </c>
      <c r="N32" s="54" t="s">
        <v>96</v>
      </c>
      <c r="O32" s="55" t="s">
        <v>97</v>
      </c>
      <c r="P32" s="56" t="s">
        <v>133</v>
      </c>
    </row>
    <row r="33" spans="1:16" ht="12.75" customHeight="1" thickBot="1" x14ac:dyDescent="0.25">
      <c r="A33" s="14" t="str">
        <f t="shared" si="0"/>
        <v>BAVM 212 </v>
      </c>
      <c r="B33" s="5" t="str">
        <f t="shared" si="1"/>
        <v>II</v>
      </c>
      <c r="C33" s="14">
        <f t="shared" si="2"/>
        <v>55096.518700000001</v>
      </c>
      <c r="D33" s="10" t="str">
        <f t="shared" si="3"/>
        <v>vis</v>
      </c>
      <c r="E33" s="52">
        <f>VLOOKUP(C33,Active!C$21:E$972,3,FALSE)</f>
        <v>44648.474596078238</v>
      </c>
      <c r="F33" s="5" t="s">
        <v>64</v>
      </c>
      <c r="G33" s="10" t="str">
        <f t="shared" si="4"/>
        <v>55096.5187</v>
      </c>
      <c r="H33" s="14">
        <f t="shared" si="5"/>
        <v>44648.5</v>
      </c>
      <c r="I33" s="53" t="s">
        <v>143</v>
      </c>
      <c r="J33" s="54" t="s">
        <v>144</v>
      </c>
      <c r="K33" s="53" t="s">
        <v>145</v>
      </c>
      <c r="L33" s="53" t="s">
        <v>146</v>
      </c>
      <c r="M33" s="54" t="s">
        <v>76</v>
      </c>
      <c r="N33" s="54" t="s">
        <v>96</v>
      </c>
      <c r="O33" s="55" t="s">
        <v>97</v>
      </c>
      <c r="P33" s="56" t="s">
        <v>147</v>
      </c>
    </row>
    <row r="34" spans="1:16" ht="12.75" customHeight="1" thickBot="1" x14ac:dyDescent="0.25">
      <c r="A34" s="14" t="str">
        <f t="shared" si="0"/>
        <v>BAVM 212 </v>
      </c>
      <c r="B34" s="5" t="str">
        <f t="shared" si="1"/>
        <v>II</v>
      </c>
      <c r="C34" s="14">
        <f t="shared" si="2"/>
        <v>55108.469100000002</v>
      </c>
      <c r="D34" s="10" t="str">
        <f t="shared" si="3"/>
        <v>vis</v>
      </c>
      <c r="E34" s="52">
        <f>VLOOKUP(C34,Active!C$21:E$972,3,FALSE)</f>
        <v>44668.482374574269</v>
      </c>
      <c r="F34" s="5" t="s">
        <v>64</v>
      </c>
      <c r="G34" s="10" t="str">
        <f t="shared" si="4"/>
        <v>55108.4691</v>
      </c>
      <c r="H34" s="14">
        <f t="shared" si="5"/>
        <v>44668.5</v>
      </c>
      <c r="I34" s="53" t="s">
        <v>148</v>
      </c>
      <c r="J34" s="54" t="s">
        <v>149</v>
      </c>
      <c r="K34" s="53" t="s">
        <v>150</v>
      </c>
      <c r="L34" s="53" t="s">
        <v>151</v>
      </c>
      <c r="M34" s="54" t="s">
        <v>76</v>
      </c>
      <c r="N34" s="54" t="s">
        <v>96</v>
      </c>
      <c r="O34" s="55" t="s">
        <v>97</v>
      </c>
      <c r="P34" s="56" t="s">
        <v>147</v>
      </c>
    </row>
    <row r="35" spans="1:16" ht="12.75" customHeight="1" thickBot="1" x14ac:dyDescent="0.25">
      <c r="A35" s="14" t="str">
        <f t="shared" si="0"/>
        <v>OEJV 0137 </v>
      </c>
      <c r="B35" s="5" t="str">
        <f t="shared" si="1"/>
        <v>I</v>
      </c>
      <c r="C35" s="14">
        <f t="shared" si="2"/>
        <v>55471.316700000003</v>
      </c>
      <c r="D35" s="10" t="str">
        <f t="shared" si="3"/>
        <v>vis</v>
      </c>
      <c r="E35" s="52">
        <f>VLOOKUP(C35,Active!C$21:E$972,3,FALSE)</f>
        <v>45275.974542921285</v>
      </c>
      <c r="F35" s="5" t="s">
        <v>64</v>
      </c>
      <c r="G35" s="10" t="str">
        <f t="shared" si="4"/>
        <v>55471.3167</v>
      </c>
      <c r="H35" s="14">
        <f t="shared" si="5"/>
        <v>45276</v>
      </c>
      <c r="I35" s="53" t="s">
        <v>157</v>
      </c>
      <c r="J35" s="54" t="s">
        <v>158</v>
      </c>
      <c r="K35" s="53" t="s">
        <v>159</v>
      </c>
      <c r="L35" s="53" t="s">
        <v>146</v>
      </c>
      <c r="M35" s="54" t="s">
        <v>76</v>
      </c>
      <c r="N35" s="54" t="s">
        <v>116</v>
      </c>
      <c r="O35" s="55" t="s">
        <v>117</v>
      </c>
      <c r="P35" s="56" t="s">
        <v>160</v>
      </c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</sheetData>
  <phoneticPr fontId="7" type="noConversion"/>
  <hyperlinks>
    <hyperlink ref="P12" r:id="rId1" display="http://var.astro.cz/oejv/issues/oejv0074.pdf"/>
    <hyperlink ref="P13" r:id="rId2" display="http://www.konkoly.hu/cgi-bin/IBVS?5583"/>
    <hyperlink ref="P15" r:id="rId3" display="http://var.astro.cz/oejv/issues/oejv0074.pdf"/>
    <hyperlink ref="P16" r:id="rId4" display="http://www.bav-astro.de/sfs/BAVM_link.php?BAVMnr=178"/>
    <hyperlink ref="P17" r:id="rId5" display="http://www.bav-astro.de/sfs/BAVM_link.php?BAVMnr=183"/>
    <hyperlink ref="P18" r:id="rId6" display="http://www.bav-astro.de/sfs/BAVM_link.php?BAVMnr=183"/>
    <hyperlink ref="P19" r:id="rId7" display="http://www.bav-astro.de/sfs/BAVM_link.php?BAVMnr=183"/>
    <hyperlink ref="P30" r:id="rId8" display="http://var.astro.cz/oejv/issues/oejv0107.pdf"/>
    <hyperlink ref="P31" r:id="rId9" display="http://www.bav-astro.de/sfs/BAVM_link.php?BAVMnr=193"/>
    <hyperlink ref="P20" r:id="rId10" display="http://www.bav-astro.de/sfs/BAVM_link.php?BAVMnr=201"/>
    <hyperlink ref="P32" r:id="rId11" display="http://www.bav-astro.de/sfs/BAVM_link.php?BAVMnr=203"/>
    <hyperlink ref="P21" r:id="rId12" display="http://www.bav-astro.de/sfs/BAVM_link.php?BAVMnr=209"/>
    <hyperlink ref="P22" r:id="rId13" display="http://www.bav-astro.de/sfs/BAVM_link.php?BAVMnr=209"/>
    <hyperlink ref="P33" r:id="rId14" display="http://www.bav-astro.de/sfs/BAVM_link.php?BAVMnr=212"/>
    <hyperlink ref="P34" r:id="rId15" display="http://www.bav-astro.de/sfs/BAVM_link.php?BAVMnr=212"/>
    <hyperlink ref="P23" r:id="rId16" display="http://www.bav-astro.de/sfs/BAVM_link.php?BAVMnr=215"/>
    <hyperlink ref="P35" r:id="rId17" display="http://var.astro.cz/oejv/issues/oejv0137.pdf"/>
    <hyperlink ref="P24" r:id="rId18" display="http://www.konkoly.hu/cgi-bin/IBVS?5960"/>
    <hyperlink ref="P25" r:id="rId19" display="http://www.bav-astro.de/sfs/BAVM_link.php?BAVMnr=220"/>
    <hyperlink ref="P26" r:id="rId20" display="http://www.bav-astro.de/sfs/BAVM_link.php?BAVMnr=231"/>
    <hyperlink ref="P27" r:id="rId21" display="http://www.konkoly.hu/cgi-bin/IBVS?6042"/>
    <hyperlink ref="P28" r:id="rId22" display="http://www.bav-astro.de/sfs/BAVM_link.php?BAVMnr=234"/>
    <hyperlink ref="P29" r:id="rId23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2024-01-19T05:48:18Z</dcterms:modified>
</cp:coreProperties>
</file>