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407C644-BC16-4C24-9BAC-ADFC6E593B02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3" i="1" l="1"/>
  <c r="Q72" i="1"/>
  <c r="C7" i="1"/>
  <c r="E73" i="1"/>
  <c r="F73" i="1"/>
  <c r="E24" i="1"/>
  <c r="F24" i="1"/>
  <c r="E29" i="1"/>
  <c r="F29" i="1"/>
  <c r="E32" i="1"/>
  <c r="F32" i="1"/>
  <c r="E37" i="1"/>
  <c r="F37" i="1"/>
  <c r="E40" i="1"/>
  <c r="F40" i="1"/>
  <c r="E45" i="1"/>
  <c r="F45" i="1"/>
  <c r="E48" i="1"/>
  <c r="F48" i="1"/>
  <c r="E53" i="1"/>
  <c r="F53" i="1"/>
  <c r="E56" i="1"/>
  <c r="F56" i="1"/>
  <c r="E61" i="1"/>
  <c r="F61" i="1"/>
  <c r="E62" i="1"/>
  <c r="F62" i="1"/>
  <c r="E22" i="1"/>
  <c r="F22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8" i="1"/>
  <c r="Q69" i="1"/>
  <c r="Q71" i="1"/>
  <c r="G58" i="2"/>
  <c r="C58" i="2"/>
  <c r="G17" i="2"/>
  <c r="C17" i="2"/>
  <c r="G57" i="2"/>
  <c r="C57" i="2"/>
  <c r="G56" i="2"/>
  <c r="C56" i="2"/>
  <c r="G55" i="2"/>
  <c r="C55" i="2"/>
  <c r="E55" i="2"/>
  <c r="G16" i="2"/>
  <c r="C16" i="2"/>
  <c r="G15" i="2"/>
  <c r="C15" i="2"/>
  <c r="E15" i="2"/>
  <c r="G14" i="2"/>
  <c r="C14" i="2"/>
  <c r="E14" i="2"/>
  <c r="G13" i="2"/>
  <c r="C13" i="2"/>
  <c r="G12" i="2"/>
  <c r="C12" i="2"/>
  <c r="G54" i="2"/>
  <c r="C54" i="2"/>
  <c r="G53" i="2"/>
  <c r="C53" i="2"/>
  <c r="G52" i="2"/>
  <c r="C52" i="2"/>
  <c r="E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E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1" i="2"/>
  <c r="C11" i="2"/>
  <c r="E11" i="2"/>
  <c r="G18" i="2"/>
  <c r="C18" i="2"/>
  <c r="H58" i="2"/>
  <c r="B58" i="2"/>
  <c r="D58" i="2"/>
  <c r="A58" i="2"/>
  <c r="H17" i="2"/>
  <c r="D17" i="2"/>
  <c r="B17" i="2"/>
  <c r="A17" i="2"/>
  <c r="H57" i="2"/>
  <c r="B57" i="2"/>
  <c r="D57" i="2"/>
  <c r="A57" i="2"/>
  <c r="H56" i="2"/>
  <c r="D56" i="2"/>
  <c r="B56" i="2"/>
  <c r="A56" i="2"/>
  <c r="H55" i="2"/>
  <c r="B55" i="2"/>
  <c r="D55" i="2"/>
  <c r="A5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1" i="2"/>
  <c r="B11" i="2"/>
  <c r="D11" i="2"/>
  <c r="A11" i="2"/>
  <c r="H18" i="2"/>
  <c r="D18" i="2"/>
  <c r="B18" i="2"/>
  <c r="A18" i="2"/>
  <c r="F17" i="1"/>
  <c r="C17" i="1"/>
  <c r="Q70" i="1"/>
  <c r="Q63" i="1"/>
  <c r="Q64" i="1"/>
  <c r="Q65" i="1"/>
  <c r="Q66" i="1"/>
  <c r="Q67" i="1"/>
  <c r="Q59" i="1"/>
  <c r="Q60" i="1"/>
  <c r="Q61" i="1"/>
  <c r="Q62" i="1"/>
  <c r="Q22" i="1"/>
  <c r="E58" i="2"/>
  <c r="E40" i="2"/>
  <c r="E12" i="2"/>
  <c r="E13" i="2"/>
  <c r="E42" i="2"/>
  <c r="E31" i="2"/>
  <c r="E47" i="2"/>
  <c r="E45" i="2"/>
  <c r="E43" i="2"/>
  <c r="E17" i="2"/>
  <c r="E53" i="2"/>
  <c r="E70" i="1"/>
  <c r="F70" i="1"/>
  <c r="E60" i="1"/>
  <c r="F60" i="1"/>
  <c r="G60" i="1"/>
  <c r="K60" i="1"/>
  <c r="E58" i="1"/>
  <c r="F58" i="1"/>
  <c r="G58" i="1"/>
  <c r="H58" i="1"/>
  <c r="E50" i="1"/>
  <c r="F50" i="1"/>
  <c r="G50" i="1"/>
  <c r="H50" i="1"/>
  <c r="G44" i="1"/>
  <c r="H44" i="1"/>
  <c r="E42" i="1"/>
  <c r="F42" i="1"/>
  <c r="G42" i="1"/>
  <c r="H42" i="1"/>
  <c r="E34" i="1"/>
  <c r="F34" i="1"/>
  <c r="G34" i="1"/>
  <c r="H34" i="1"/>
  <c r="G28" i="1"/>
  <c r="H28" i="1"/>
  <c r="E26" i="1"/>
  <c r="F26" i="1"/>
  <c r="G26" i="1"/>
  <c r="H26" i="1"/>
  <c r="E67" i="1"/>
  <c r="F67" i="1"/>
  <c r="G67" i="1"/>
  <c r="K67" i="1"/>
  <c r="G57" i="1"/>
  <c r="H57" i="1"/>
  <c r="E55" i="1"/>
  <c r="F55" i="1"/>
  <c r="G55" i="1"/>
  <c r="H55" i="1"/>
  <c r="E47" i="1"/>
  <c r="F47" i="1"/>
  <c r="G47" i="1"/>
  <c r="H47" i="1"/>
  <c r="G41" i="1"/>
  <c r="H41" i="1"/>
  <c r="E39" i="1"/>
  <c r="F39" i="1"/>
  <c r="G39" i="1"/>
  <c r="H39" i="1"/>
  <c r="E31" i="1"/>
  <c r="F31" i="1"/>
  <c r="G31" i="1"/>
  <c r="H31" i="1"/>
  <c r="G25" i="1"/>
  <c r="H25" i="1"/>
  <c r="E23" i="1"/>
  <c r="F23" i="1"/>
  <c r="G23" i="1"/>
  <c r="H23" i="1"/>
  <c r="G59" i="1"/>
  <c r="E66" i="1"/>
  <c r="F66" i="1"/>
  <c r="E59" i="1"/>
  <c r="F59" i="1"/>
  <c r="G54" i="1"/>
  <c r="H54" i="1"/>
  <c r="E52" i="1"/>
  <c r="F52" i="1"/>
  <c r="G52" i="1"/>
  <c r="H52" i="1"/>
  <c r="E44" i="1"/>
  <c r="F44" i="1"/>
  <c r="E36" i="1"/>
  <c r="F36" i="1"/>
  <c r="G36" i="1"/>
  <c r="H36" i="1"/>
  <c r="G30" i="1"/>
  <c r="H30" i="1"/>
  <c r="E28" i="1"/>
  <c r="F28" i="1"/>
  <c r="E65" i="1"/>
  <c r="F65" i="1"/>
  <c r="E71" i="1"/>
  <c r="F71" i="1"/>
  <c r="G71" i="1"/>
  <c r="K71" i="1"/>
  <c r="E57" i="1"/>
  <c r="F57" i="1"/>
  <c r="E49" i="1"/>
  <c r="F49" i="1"/>
  <c r="G49" i="1"/>
  <c r="H49" i="1"/>
  <c r="E41" i="1"/>
  <c r="F41" i="1"/>
  <c r="G35" i="1"/>
  <c r="H35" i="1"/>
  <c r="E33" i="1"/>
  <c r="F33" i="1"/>
  <c r="G33" i="1"/>
  <c r="H33" i="1"/>
  <c r="G27" i="1"/>
  <c r="H27" i="1"/>
  <c r="E25" i="1"/>
  <c r="F25" i="1"/>
  <c r="G70" i="1"/>
  <c r="K70" i="1"/>
  <c r="G66" i="1"/>
  <c r="K66" i="1"/>
  <c r="G62" i="1"/>
  <c r="K62" i="1"/>
  <c r="G72" i="1"/>
  <c r="K72" i="1"/>
  <c r="G73" i="1"/>
  <c r="K73" i="1"/>
  <c r="E64" i="1"/>
  <c r="F64" i="1"/>
  <c r="G64" i="1"/>
  <c r="K64" i="1"/>
  <c r="E69" i="1"/>
  <c r="F69" i="1"/>
  <c r="G56" i="1"/>
  <c r="H56" i="1"/>
  <c r="E54" i="1"/>
  <c r="F54" i="1"/>
  <c r="G48" i="1"/>
  <c r="H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24" i="1"/>
  <c r="H24" i="1"/>
  <c r="E63" i="1"/>
  <c r="F63" i="1"/>
  <c r="G63" i="1"/>
  <c r="K63" i="1"/>
  <c r="E68" i="1"/>
  <c r="F68" i="1"/>
  <c r="G68" i="1"/>
  <c r="K68" i="1"/>
  <c r="G53" i="1"/>
  <c r="H53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29" i="1"/>
  <c r="H29" i="1"/>
  <c r="E27" i="1"/>
  <c r="F27" i="1"/>
  <c r="E21" i="1"/>
  <c r="F21" i="1"/>
  <c r="G21" i="1"/>
  <c r="H21" i="1"/>
  <c r="G69" i="1"/>
  <c r="K69" i="1"/>
  <c r="G65" i="1"/>
  <c r="K65" i="1"/>
  <c r="G61" i="1"/>
  <c r="K61" i="1"/>
  <c r="E72" i="1"/>
  <c r="F72" i="1"/>
  <c r="E19" i="2"/>
  <c r="E37" i="2"/>
  <c r="E27" i="2"/>
  <c r="E30" i="2"/>
  <c r="E16" i="2"/>
  <c r="E23" i="2"/>
  <c r="E21" i="2"/>
  <c r="E26" i="2"/>
  <c r="K59" i="1"/>
  <c r="E56" i="2"/>
  <c r="E38" i="2"/>
  <c r="E24" i="2"/>
  <c r="E46" i="2"/>
  <c r="E51" i="2"/>
  <c r="E35" i="2"/>
  <c r="E54" i="2"/>
  <c r="E22" i="2"/>
  <c r="E50" i="2"/>
  <c r="E57" i="2"/>
  <c r="E32" i="2"/>
  <c r="E18" i="2"/>
  <c r="E29" i="2"/>
  <c r="E48" i="2"/>
  <c r="E34" i="2"/>
  <c r="E39" i="2"/>
  <c r="C11" i="1"/>
  <c r="C12" i="1"/>
  <c r="C16" i="1" l="1"/>
  <c r="D18" i="1" s="1"/>
  <c r="O32" i="1"/>
  <c r="O27" i="1"/>
  <c r="O21" i="1"/>
  <c r="O41" i="1"/>
  <c r="O44" i="1"/>
  <c r="O47" i="1"/>
  <c r="O29" i="1"/>
  <c r="C15" i="1"/>
  <c r="O61" i="1"/>
  <c r="O59" i="1"/>
  <c r="O22" i="1"/>
  <c r="O40" i="1"/>
  <c r="O35" i="1"/>
  <c r="O30" i="1"/>
  <c r="O49" i="1"/>
  <c r="O52" i="1"/>
  <c r="O55" i="1"/>
  <c r="O37" i="1"/>
  <c r="O45" i="1"/>
  <c r="O51" i="1"/>
  <c r="O26" i="1"/>
  <c r="O64" i="1"/>
  <c r="O72" i="1"/>
  <c r="O63" i="1"/>
  <c r="O48" i="1"/>
  <c r="O43" i="1"/>
  <c r="O38" i="1"/>
  <c r="O57" i="1"/>
  <c r="O69" i="1"/>
  <c r="O73" i="1"/>
  <c r="O46" i="1"/>
  <c r="O53" i="1"/>
  <c r="O54" i="1"/>
  <c r="O71" i="1"/>
  <c r="O70" i="1"/>
  <c r="O42" i="1"/>
  <c r="O56" i="1"/>
  <c r="O66" i="1"/>
  <c r="O68" i="1"/>
  <c r="O34" i="1"/>
  <c r="O67" i="1"/>
  <c r="O65" i="1"/>
  <c r="O25" i="1"/>
  <c r="O28" i="1"/>
  <c r="O31" i="1"/>
  <c r="O50" i="1"/>
  <c r="O24" i="1"/>
  <c r="O62" i="1"/>
  <c r="O60" i="1"/>
  <c r="O33" i="1"/>
  <c r="O36" i="1"/>
  <c r="O39" i="1"/>
  <c r="O58" i="1"/>
  <c r="O23" i="1"/>
  <c r="C18" i="1" l="1"/>
  <c r="F18" i="1"/>
  <c r="F19" i="1" s="1"/>
</calcChain>
</file>

<file path=xl/sharedStrings.xml><?xml version="1.0" encoding="utf-8"?>
<sst xmlns="http://schemas.openxmlformats.org/spreadsheetml/2006/main" count="548" uniqueCount="222">
  <si>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</si>
  <si>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</si>
  <si>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</si>
  <si>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</si>
  <si>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</si>
  <si>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</si>
  <si>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</si>
  <si>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</si>
  <si>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</si>
  <si>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</si>
  <si>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</si>
  <si>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</si>
  <si>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</si>
  <si>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</si>
  <si>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</si>
  <si>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</si>
  <si>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</si>
  <si>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</si>
  <si>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</si>
  <si>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</si>
  <si>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</si>
  <si>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</si>
  <si>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</si>
  <si>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</si>
  <si>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</si>
  <si>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</si>
  <si>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</si>
  <si>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</si>
  <si>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</si>
  <si>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</si>
  <si>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5487</t>
  </si>
  <si>
    <t>I</t>
  </si>
  <si>
    <t>EA</t>
  </si>
  <si>
    <t>IBVS 5251</t>
  </si>
  <si>
    <t>II</t>
  </si>
  <si>
    <t>WRONG - see IBVS 5487</t>
  </si>
  <si>
    <t>Correct period</t>
  </si>
  <si>
    <t>IBVS 5357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</si>
  <si>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</si>
  <si>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</si>
  <si>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</si>
  <si>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</si>
  <si>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</si>
  <si>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</si>
  <si>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</si>
  <si>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</si>
  <si>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</si>
  <si>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</si>
  <si>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</si>
  <si>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</si>
  <si>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</si>
  <si>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</si>
  <si>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</si>
  <si>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</si>
  <si>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</si>
  <si>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</si>
  <si>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</si>
  <si>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2425850.369 </t>
  </si>
  <si>
    <t> 26.08.1929 20:51 </t>
  </si>
  <si>
    <t> -0.104 </t>
  </si>
  <si>
    <t>P </t>
  </si>
  <si>
    <t> W.Strohmeier et al. </t>
  </si>
  <si>
    <t> VB 5.15 </t>
  </si>
  <si>
    <t>2425883.850 </t>
  </si>
  <si>
    <t> 29.09.1929 08:24 </t>
  </si>
  <si>
    <t> 0.000 </t>
  </si>
  <si>
    <t>2425889.413 </t>
  </si>
  <si>
    <t> 04.10.1929 21:54 </t>
  </si>
  <si>
    <t>2426295.383 </t>
  </si>
  <si>
    <t> 14.11.1930 21:11 </t>
  </si>
  <si>
    <t> -0.120 </t>
  </si>
  <si>
    <t>2426295.410 </t>
  </si>
  <si>
    <t> 14.11.1930 21:50 </t>
  </si>
  <si>
    <t> -0.093 </t>
  </si>
  <si>
    <t>2426512.460 </t>
  </si>
  <si>
    <t> 19.06.1931 23:02 </t>
  </si>
  <si>
    <t> 0.005 </t>
  </si>
  <si>
    <t>2426562.422 </t>
  </si>
  <si>
    <t> 08.08.1931 22:07 </t>
  </si>
  <si>
    <t> -0.099 </t>
  </si>
  <si>
    <t>2426562.498 </t>
  </si>
  <si>
    <t> 08.08.1931 23:57 </t>
  </si>
  <si>
    <t> -0.023 </t>
  </si>
  <si>
    <t>2426573.353 </t>
  </si>
  <si>
    <t> 19.08.1931 20:28 </t>
  </si>
  <si>
    <t> -0.294 </t>
  </si>
  <si>
    <t>2426573.435 </t>
  </si>
  <si>
    <t> 19.08.1931 22:26 </t>
  </si>
  <si>
    <t> -0.212 </t>
  </si>
  <si>
    <t>2426601.484 </t>
  </si>
  <si>
    <t> 16.09.1931 23:36 </t>
  </si>
  <si>
    <t> 0.022 </t>
  </si>
  <si>
    <t>2426601.527 </t>
  </si>
  <si>
    <t> 17.09.1931 00:38 </t>
  </si>
  <si>
    <t> 0.065 </t>
  </si>
  <si>
    <t>2426651.351 </t>
  </si>
  <si>
    <t> 05.11.1931 20:25 </t>
  </si>
  <si>
    <t> -0.176 </t>
  </si>
  <si>
    <t>2426918.535 </t>
  </si>
  <si>
    <t> 30.07.1932 00:50 </t>
  </si>
  <si>
    <t> -0.011 </t>
  </si>
  <si>
    <t>2426929.524 </t>
  </si>
  <si>
    <t> 10.08.1932 00:34 </t>
  </si>
  <si>
    <t> -0.147 </t>
  </si>
  <si>
    <t>2426929.545 </t>
  </si>
  <si>
    <t> 10.08.1932 01:04 </t>
  </si>
  <si>
    <t> -0.126 </t>
  </si>
  <si>
    <t>2426946.452 </t>
  </si>
  <si>
    <t> 26.08.1932 22:50 </t>
  </si>
  <si>
    <t> 0.092 </t>
  </si>
  <si>
    <t>2426985.418 </t>
  </si>
  <si>
    <t> 04.10.1932 22:01 </t>
  </si>
  <si>
    <t> 0.118 </t>
  </si>
  <si>
    <t>2427302.491 </t>
  </si>
  <si>
    <t> 17.08.1933 23:47 </t>
  </si>
  <si>
    <t> 0.107 </t>
  </si>
  <si>
    <t>2427313.381 </t>
  </si>
  <si>
    <t> 28.08.1933 21:08 </t>
  </si>
  <si>
    <t> -0.129 </t>
  </si>
  <si>
    <t>2427313.403 </t>
  </si>
  <si>
    <t> 28.08.1933 21:40 </t>
  </si>
  <si>
    <t> -0.107 </t>
  </si>
  <si>
    <t>2428398.454 </t>
  </si>
  <si>
    <t> 17.08.1936 22:53 </t>
  </si>
  <si>
    <t> 0.182 </t>
  </si>
  <si>
    <t>2428398.475 </t>
  </si>
  <si>
    <t> 17.08.1936 23:24 </t>
  </si>
  <si>
    <t> 0.203 </t>
  </si>
  <si>
    <t>2428837.478 </t>
  </si>
  <si>
    <t> 30.10.1937 23:28 </t>
  </si>
  <si>
    <t> -0.261 </t>
  </si>
  <si>
    <t>2429054.506 </t>
  </si>
  <si>
    <t> 05.06.1938 00:08 </t>
  </si>
  <si>
    <t> -0.186 </t>
  </si>
  <si>
    <t>2429104.521 </t>
  </si>
  <si>
    <t> 25.07.1938 00:30 </t>
  </si>
  <si>
    <t> -0.237 </t>
  </si>
  <si>
    <t>2429143.486 </t>
  </si>
  <si>
    <t> 01.09.1938 23:39 </t>
  </si>
  <si>
    <t>2429160.429 </t>
  </si>
  <si>
    <t> 18.09.1938 22:17 </t>
  </si>
  <si>
    <t> 0.043 </t>
  </si>
  <si>
    <t>2429533.324 </t>
  </si>
  <si>
    <t> 26.09.1939 19:46 </t>
  </si>
  <si>
    <t> 0.225 </t>
  </si>
  <si>
    <t>2434250.431 </t>
  </si>
  <si>
    <t> 25.08.1952 22:20 </t>
  </si>
  <si>
    <t> 0.009 </t>
  </si>
  <si>
    <t>2436019.509 </t>
  </si>
  <si>
    <t> 30.06.1957 00:12 </t>
  </si>
  <si>
    <t>2436130.419 </t>
  </si>
  <si>
    <t> 18.10.1957 22:03 </t>
  </si>
  <si>
    <t> -0.256 </t>
  </si>
  <si>
    <t>2436453.455 </t>
  </si>
  <si>
    <t> 06.09.1958 22:55 </t>
  </si>
  <si>
    <t> 0.133 </t>
  </si>
  <si>
    <t>2436820.472 </t>
  </si>
  <si>
    <t> 08.09.1959 23:19 </t>
  </si>
  <si>
    <t> -0.000 </t>
  </si>
  <si>
    <t>2436842.424 </t>
  </si>
  <si>
    <t> 30.09.1959 22:10 </t>
  </si>
  <si>
    <t> -0.300 </t>
  </si>
  <si>
    <t>2436848.375 </t>
  </si>
  <si>
    <t> 06.10.1959 21:00 </t>
  </si>
  <si>
    <t> 0.089 </t>
  </si>
  <si>
    <t>2437577.385 </t>
  </si>
  <si>
    <t> 04.10.1961 21:14 </t>
  </si>
  <si>
    <t> 0.361 </t>
  </si>
  <si>
    <t>2437588.406 </t>
  </si>
  <si>
    <t> 15.10.1961 21:44 </t>
  </si>
  <si>
    <t> 0.256 </t>
  </si>
  <si>
    <t> W.Strohmeier et al </t>
  </si>
  <si>
    <t>2452078.8564 </t>
  </si>
  <si>
    <t> 18.06.2001 08:33 </t>
  </si>
  <si>
    <t> -0.5955 </t>
  </si>
  <si>
    <t>E </t>
  </si>
  <si>
    <t>G</t>
  </si>
  <si>
    <t> C.Lacy et al. </t>
  </si>
  <si>
    <t>IBVS 5251 </t>
  </si>
  <si>
    <t>2452100.8763 </t>
  </si>
  <si>
    <t> 10.07.2001 09:01 </t>
  </si>
  <si>
    <t> -0.8271 </t>
  </si>
  <si>
    <t>2452111.8886 </t>
  </si>
  <si>
    <t> 21.07.2001 09:19 </t>
  </si>
  <si>
    <t> -0.9406 </t>
  </si>
  <si>
    <t>2452180.7074 </t>
  </si>
  <si>
    <t> 28.09.2001 04:58 </t>
  </si>
  <si>
    <t> 1.1236 </t>
  </si>
  <si>
    <t>2452282.5586 </t>
  </si>
  <si>
    <t> 08.01.2002 01:24 </t>
  </si>
  <si>
    <t> 2.8430 </t>
  </si>
  <si>
    <t> C.Lacy </t>
  </si>
  <si>
    <t>IBVS 5357 </t>
  </si>
  <si>
    <t>2452615.6389 </t>
  </si>
  <si>
    <t> 07.12.2002 03:20 </t>
  </si>
  <si>
    <t> 2.1505 </t>
  </si>
  <si>
    <t>2454366.3791 </t>
  </si>
  <si>
    <t> 22.09.2007 21:05 </t>
  </si>
  <si>
    <t> 0.5835 </t>
  </si>
  <si>
    <t>C </t>
  </si>
  <si>
    <t>-I</t>
  </si>
  <si>
    <t> F.Agerer </t>
  </si>
  <si>
    <t>BAVM 193 </t>
  </si>
  <si>
    <t>2454470.9848 </t>
  </si>
  <si>
    <t> 05.01.2008 11:38 </t>
  </si>
  <si>
    <t>2569.5</t>
  </si>
  <si>
    <t> -0.5055 </t>
  </si>
  <si>
    <t> H.Ito </t>
  </si>
  <si>
    <t>VSB 48 </t>
  </si>
  <si>
    <t>2454729.7403 </t>
  </si>
  <si>
    <t> 20.09.2008 05:46 </t>
  </si>
  <si>
    <t>2593</t>
  </si>
  <si>
    <t> -3.2054 </t>
  </si>
  <si>
    <t>R</t>
  </si>
  <si>
    <t> R.Nelson </t>
  </si>
  <si>
    <t>IBVS 5875 </t>
  </si>
  <si>
    <t>2455098.6057 </t>
  </si>
  <si>
    <t> 24.09.2009 02:32 </t>
  </si>
  <si>
    <t>2626</t>
  </si>
  <si>
    <t> -1.4901 </t>
  </si>
  <si>
    <t>BAVM 212 </t>
  </si>
  <si>
    <t>V0396 Cas / GSC 04006-01219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</si>
</sst>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0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NumberFormat="1" applyFont="1" applyAlignment="1">
      <alignment horizontal="left" wrapText="1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37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Cas - O-C Diagr.</a:t>
            </a:r>
          </a:p>
        </c:rich>
      </c:tx>
      <c:layout>
        <c:manualLayout>
          <c:xMode val="edge"/>
          <c:yMode val="edge"/>
          <c:x val="0.33172803034657172"/>
          <c:y val="3.78323108384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958762886599"/>
          <c:y val="0.14723926380368099"/>
          <c:w val="0.764948453608247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-0.44830000000001746</c:v>
                </c:pt>
                <c:pt idx="1">
                  <c:v>0</c:v>
                </c:pt>
                <c:pt idx="2">
                  <c:v>5.7550000001356238E-2</c:v>
                </c:pt>
                <c:pt idx="3">
                  <c:v>-1.3757499999992433</c:v>
                </c:pt>
                <c:pt idx="4">
                  <c:v>-1.3487500000010186</c:v>
                </c:pt>
                <c:pt idx="5">
                  <c:v>0.98869999999806168</c:v>
                </c:pt>
                <c:pt idx="6">
                  <c:v>-1.3510750000023108</c:v>
                </c:pt>
                <c:pt idx="7">
                  <c:v>-1.2750750000013795</c:v>
                </c:pt>
                <c:pt idx="8">
                  <c:v>1.321749999999156</c:v>
                </c:pt>
                <c:pt idx="9">
                  <c:v>-1.3489749999971536</c:v>
                </c:pt>
                <c:pt idx="10">
                  <c:v>-0.82722500000090804</c:v>
                </c:pt>
                <c:pt idx="11">
                  <c:v>-0.78422500000306172</c:v>
                </c:pt>
                <c:pt idx="12">
                  <c:v>-0.50927500000034343</c:v>
                </c:pt>
                <c:pt idx="13">
                  <c:v>-0.33959999999933643</c:v>
                </c:pt>
                <c:pt idx="14">
                  <c:v>-0.36149999999906868</c:v>
                </c:pt>
                <c:pt idx="15">
                  <c:v>-0.34050000000206637</c:v>
                </c:pt>
                <c:pt idx="16">
                  <c:v>5.0150000002759043E-2</c:v>
                </c:pt>
                <c:pt idx="17">
                  <c:v>0.47800000000279397</c:v>
                </c:pt>
                <c:pt idx="18">
                  <c:v>0.98762500000157161</c:v>
                </c:pt>
                <c:pt idx="19">
                  <c:v>0.8667249999998603</c:v>
                </c:pt>
                <c:pt idx="20">
                  <c:v>0.88872499999706633</c:v>
                </c:pt>
                <c:pt idx="21">
                  <c:v>1.3660750000017288</c:v>
                </c:pt>
                <c:pt idx="22">
                  <c:v>-1.3656499999997322</c:v>
                </c:pt>
                <c:pt idx="23">
                  <c:v>-4.5925000002171146E-2</c:v>
                </c:pt>
                <c:pt idx="24">
                  <c:v>-0.48319999999876018</c:v>
                </c:pt>
                <c:pt idx="25">
                  <c:v>-1.7250000000785803E-2</c:v>
                </c:pt>
                <c:pt idx="26">
                  <c:v>0.40960000000268337</c:v>
                </c:pt>
                <c:pt idx="27">
                  <c:v>0.83625000000029104</c:v>
                </c:pt>
                <c:pt idx="28">
                  <c:v>-0.63934999999764841</c:v>
                </c:pt>
                <c:pt idx="29">
                  <c:v>1.0497249999971245</c:v>
                </c:pt>
                <c:pt idx="30">
                  <c:v>0.12554999999701977</c:v>
                </c:pt>
                <c:pt idx="31">
                  <c:v>0.92655000000377186</c:v>
                </c:pt>
                <c:pt idx="32">
                  <c:v>-0.85899999999674037</c:v>
                </c:pt>
                <c:pt idx="33">
                  <c:v>4.5575000003736932E-2</c:v>
                </c:pt>
                <c:pt idx="34">
                  <c:v>-2.4225000001024455E-2</c:v>
                </c:pt>
                <c:pt idx="35">
                  <c:v>0.42132500000298023</c:v>
                </c:pt>
                <c:pt idx="36">
                  <c:v>-4.079999999521533E-2</c:v>
                </c:pt>
                <c:pt idx="37">
                  <c:v>-3.0699999995704275E-2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5-4271-9C08-F89FEF4F4A0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5-4271-9C08-F89FEF4F4A0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5-4271-9C08-F89FEF4F4A0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  <c:pt idx="38">
                  <c:v>7.5299999996786937E-2</c:v>
                </c:pt>
                <c:pt idx="39">
                  <c:v>7.3400000008405186E-2</c:v>
                </c:pt>
                <c:pt idx="40">
                  <c:v>7.4799999994866084E-2</c:v>
                </c:pt>
                <c:pt idx="41">
                  <c:v>7.5475000005098991E-2</c:v>
                </c:pt>
                <c:pt idx="42">
                  <c:v>7.5850000001082662E-2</c:v>
                </c:pt>
                <c:pt idx="43">
                  <c:v>7.6415000003180467E-2</c:v>
                </c:pt>
                <c:pt idx="44">
                  <c:v>7.7635000001464505E-2</c:v>
                </c:pt>
                <c:pt idx="45">
                  <c:v>7.7725000002828892E-2</c:v>
                </c:pt>
                <c:pt idx="46">
                  <c:v>7.7545000000100117E-2</c:v>
                </c:pt>
                <c:pt idx="47">
                  <c:v>8.3525000001827721E-2</c:v>
                </c:pt>
                <c:pt idx="48">
                  <c:v>8.5675000002083834E-2</c:v>
                </c:pt>
                <c:pt idx="49">
                  <c:v>8.5025000000314321E-2</c:v>
                </c:pt>
                <c:pt idx="50">
                  <c:v>8.5275000004912727E-2</c:v>
                </c:pt>
                <c:pt idx="51">
                  <c:v>9.5624999994470272E-2</c:v>
                </c:pt>
                <c:pt idx="52">
                  <c:v>9.6174999998765998E-2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A5-4271-9C08-F89FEF4F4A0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A5-4271-9C08-F89FEF4F4A0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A5-4271-9C08-F89FEF4F4A0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A5-4271-9C08-F89FEF4F4A0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-2.488769977104675E-2</c:v>
                </c:pt>
                <c:pt idx="1">
                  <c:v>-2.4762187911462535E-2</c:v>
                </c:pt>
                <c:pt idx="2">
                  <c:v>-2.4741269268198498E-2</c:v>
                </c:pt>
                <c:pt idx="3">
                  <c:v>-2.3193289666659848E-2</c:v>
                </c:pt>
                <c:pt idx="4">
                  <c:v>-2.3193289666659848E-2</c:v>
                </c:pt>
                <c:pt idx="5">
                  <c:v>-2.2377462579362448E-2</c:v>
                </c:pt>
                <c:pt idx="6">
                  <c:v>-2.217873546835411E-2</c:v>
                </c:pt>
                <c:pt idx="7">
                  <c:v>-2.217873546835411E-2</c:v>
                </c:pt>
                <c:pt idx="8">
                  <c:v>-2.2147357503458056E-2</c:v>
                </c:pt>
                <c:pt idx="9">
                  <c:v>-2.2136898181826035E-2</c:v>
                </c:pt>
                <c:pt idx="10">
                  <c:v>-2.2032304965505858E-2</c:v>
                </c:pt>
                <c:pt idx="11">
                  <c:v>-2.2032304965505858E-2</c:v>
                </c:pt>
                <c:pt idx="12">
                  <c:v>-2.1844037176129535E-2</c:v>
                </c:pt>
                <c:pt idx="13">
                  <c:v>-2.0829482977823797E-2</c:v>
                </c:pt>
                <c:pt idx="14">
                  <c:v>-2.0787645691295726E-2</c:v>
                </c:pt>
                <c:pt idx="15">
                  <c:v>-2.0787645691295726E-2</c:v>
                </c:pt>
                <c:pt idx="16">
                  <c:v>-2.0724889761503617E-2</c:v>
                </c:pt>
                <c:pt idx="17">
                  <c:v>-2.0578459258655368E-2</c:v>
                </c:pt>
                <c:pt idx="18">
                  <c:v>-1.9375637270973307E-2</c:v>
                </c:pt>
                <c:pt idx="19">
                  <c:v>-1.9333799984445236E-2</c:v>
                </c:pt>
                <c:pt idx="20">
                  <c:v>-1.9333799984445236E-2</c:v>
                </c:pt>
                <c:pt idx="21">
                  <c:v>-1.5212827261430174E-2</c:v>
                </c:pt>
                <c:pt idx="22">
                  <c:v>-1.5202367939798157E-2</c:v>
                </c:pt>
                <c:pt idx="23">
                  <c:v>-1.3539335800307308E-2</c:v>
                </c:pt>
                <c:pt idx="24">
                  <c:v>-1.2713049391377892E-2</c:v>
                </c:pt>
                <c:pt idx="25">
                  <c:v>-1.2524781602001569E-2</c:v>
                </c:pt>
                <c:pt idx="26">
                  <c:v>-1.2378351099153318E-2</c:v>
                </c:pt>
                <c:pt idx="27">
                  <c:v>-1.2315595169361211E-2</c:v>
                </c:pt>
                <c:pt idx="28">
                  <c:v>-1.0893127427406774E-2</c:v>
                </c:pt>
                <c:pt idx="29">
                  <c:v>7.0236905282399231E-3</c:v>
                </c:pt>
                <c:pt idx="30">
                  <c:v>1.374903433762744E-2</c:v>
                </c:pt>
                <c:pt idx="31">
                  <c:v>1.4167407202908155E-2</c:v>
                </c:pt>
                <c:pt idx="32">
                  <c:v>1.5401607155486274E-2</c:v>
                </c:pt>
                <c:pt idx="33">
                  <c:v>1.6792696932544655E-2</c:v>
                </c:pt>
                <c:pt idx="34">
                  <c:v>1.6876371505600798E-2</c:v>
                </c:pt>
                <c:pt idx="35">
                  <c:v>1.6897290148864832E-2</c:v>
                </c:pt>
                <c:pt idx="36">
                  <c:v>1.9669010381349585E-2</c:v>
                </c:pt>
                <c:pt idx="37">
                  <c:v>1.9710847667877653E-2</c:v>
                </c:pt>
                <c:pt idx="38">
                  <c:v>7.4768716738819976E-2</c:v>
                </c:pt>
                <c:pt idx="39">
                  <c:v>7.4852391311876126E-2</c:v>
                </c:pt>
                <c:pt idx="40">
                  <c:v>7.4894228598404194E-2</c:v>
                </c:pt>
                <c:pt idx="41">
                  <c:v>7.5155711639204648E-2</c:v>
                </c:pt>
                <c:pt idx="42">
                  <c:v>7.5542706539589305E-2</c:v>
                </c:pt>
                <c:pt idx="43">
                  <c:v>7.6808284457063475E-2</c:v>
                </c:pt>
                <c:pt idx="44">
                  <c:v>7.7603192901096837E-2</c:v>
                </c:pt>
                <c:pt idx="45">
                  <c:v>7.7645030187624905E-2</c:v>
                </c:pt>
                <c:pt idx="46">
                  <c:v>7.7770542047209124E-2</c:v>
                </c:pt>
                <c:pt idx="47">
                  <c:v>8.3460413015026866E-2</c:v>
                </c:pt>
                <c:pt idx="48">
                  <c:v>8.3857867237043554E-2</c:v>
                </c:pt>
                <c:pt idx="49">
                  <c:v>8.4841043470453237E-2</c:v>
                </c:pt>
                <c:pt idx="50">
                  <c:v>8.6242592569143642E-2</c:v>
                </c:pt>
                <c:pt idx="51">
                  <c:v>9.4714643091078146E-2</c:v>
                </c:pt>
                <c:pt idx="52">
                  <c:v>9.7287636212554554E-2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A5-4271-9C08-F89FEF4F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83728"/>
        <c:axId val="1"/>
      </c:scatterChart>
      <c:valAx>
        <c:axId val="571783728"/>
        <c:scaling>
          <c:orientation val="minMax"/>
          <c:min val="4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96907216494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1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8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Cas - O-C Diagr.</a:t>
            </a:r>
          </a:p>
        </c:rich>
      </c:tx>
      <c:layout>
        <c:manualLayout>
          <c:xMode val="edge"/>
          <c:yMode val="edge"/>
          <c:x val="0.33300916332826819"/>
          <c:y val="3.3639243370440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4965548975"/>
          <c:y val="0.14678942920199375"/>
          <c:w val="0.7777793406381426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0">
                  <c:v>-0.44830000000001746</c:v>
                </c:pt>
                <c:pt idx="1">
                  <c:v>0</c:v>
                </c:pt>
                <c:pt idx="2">
                  <c:v>5.7550000001356238E-2</c:v>
                </c:pt>
                <c:pt idx="3">
                  <c:v>-1.3757499999992433</c:v>
                </c:pt>
                <c:pt idx="4">
                  <c:v>-1.3487500000010186</c:v>
                </c:pt>
                <c:pt idx="5">
                  <c:v>0.98869999999806168</c:v>
                </c:pt>
                <c:pt idx="6">
                  <c:v>-1.3510750000023108</c:v>
                </c:pt>
                <c:pt idx="7">
                  <c:v>-1.2750750000013795</c:v>
                </c:pt>
                <c:pt idx="8">
                  <c:v>1.321749999999156</c:v>
                </c:pt>
                <c:pt idx="9">
                  <c:v>-1.3489749999971536</c:v>
                </c:pt>
                <c:pt idx="10">
                  <c:v>-0.82722500000090804</c:v>
                </c:pt>
                <c:pt idx="11">
                  <c:v>-0.78422500000306172</c:v>
                </c:pt>
                <c:pt idx="12">
                  <c:v>-0.50927500000034343</c:v>
                </c:pt>
                <c:pt idx="13">
                  <c:v>-0.33959999999933643</c:v>
                </c:pt>
                <c:pt idx="14">
                  <c:v>-0.36149999999906868</c:v>
                </c:pt>
                <c:pt idx="15">
                  <c:v>-0.34050000000206637</c:v>
                </c:pt>
                <c:pt idx="16">
                  <c:v>5.0150000002759043E-2</c:v>
                </c:pt>
                <c:pt idx="17">
                  <c:v>0.47800000000279397</c:v>
                </c:pt>
                <c:pt idx="18">
                  <c:v>0.98762500000157161</c:v>
                </c:pt>
                <c:pt idx="19">
                  <c:v>0.8667249999998603</c:v>
                </c:pt>
                <c:pt idx="20">
                  <c:v>0.88872499999706633</c:v>
                </c:pt>
                <c:pt idx="21">
                  <c:v>1.3660750000017288</c:v>
                </c:pt>
                <c:pt idx="22">
                  <c:v>-1.3656499999997322</c:v>
                </c:pt>
                <c:pt idx="23">
                  <c:v>-4.5925000002171146E-2</c:v>
                </c:pt>
                <c:pt idx="24">
                  <c:v>-0.48319999999876018</c:v>
                </c:pt>
                <c:pt idx="25">
                  <c:v>-1.7250000000785803E-2</c:v>
                </c:pt>
                <c:pt idx="26">
                  <c:v>0.40960000000268337</c:v>
                </c:pt>
                <c:pt idx="27">
                  <c:v>0.83625000000029104</c:v>
                </c:pt>
                <c:pt idx="28">
                  <c:v>-0.63934999999764841</c:v>
                </c:pt>
                <c:pt idx="29">
                  <c:v>1.0497249999971245</c:v>
                </c:pt>
                <c:pt idx="30">
                  <c:v>0.12554999999701977</c:v>
                </c:pt>
                <c:pt idx="31">
                  <c:v>0.92655000000377186</c:v>
                </c:pt>
                <c:pt idx="32">
                  <c:v>-0.85899999999674037</c:v>
                </c:pt>
                <c:pt idx="33">
                  <c:v>4.5575000003736932E-2</c:v>
                </c:pt>
                <c:pt idx="34">
                  <c:v>-2.4225000001024455E-2</c:v>
                </c:pt>
                <c:pt idx="35">
                  <c:v>0.42132500000298023</c:v>
                </c:pt>
                <c:pt idx="36">
                  <c:v>-4.079999999521533E-2</c:v>
                </c:pt>
                <c:pt idx="37">
                  <c:v>-3.0699999995704275E-2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6-4539-8A5A-456A3CDEAFA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6-4539-8A5A-456A3CDEAFA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A6-4539-8A5A-456A3CDEAFA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  <c:pt idx="38">
                  <c:v>7.5299999996786937E-2</c:v>
                </c:pt>
                <c:pt idx="39">
                  <c:v>7.3400000008405186E-2</c:v>
                </c:pt>
                <c:pt idx="40">
                  <c:v>7.4799999994866084E-2</c:v>
                </c:pt>
                <c:pt idx="41">
                  <c:v>7.5475000005098991E-2</c:v>
                </c:pt>
                <c:pt idx="42">
                  <c:v>7.5850000001082662E-2</c:v>
                </c:pt>
                <c:pt idx="43">
                  <c:v>7.6415000003180467E-2</c:v>
                </c:pt>
                <c:pt idx="44">
                  <c:v>7.7635000001464505E-2</c:v>
                </c:pt>
                <c:pt idx="45">
                  <c:v>7.7725000002828892E-2</c:v>
                </c:pt>
                <c:pt idx="46">
                  <c:v>7.7545000000100117E-2</c:v>
                </c:pt>
                <c:pt idx="47">
                  <c:v>8.3525000001827721E-2</c:v>
                </c:pt>
                <c:pt idx="48">
                  <c:v>8.5675000002083834E-2</c:v>
                </c:pt>
                <c:pt idx="49">
                  <c:v>8.5025000000314321E-2</c:v>
                </c:pt>
                <c:pt idx="50">
                  <c:v>8.5275000004912727E-2</c:v>
                </c:pt>
                <c:pt idx="51">
                  <c:v>9.5624999994470272E-2</c:v>
                </c:pt>
                <c:pt idx="52">
                  <c:v>9.6174999998765998E-2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A6-4539-8A5A-456A3CDEAFA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A6-4539-8A5A-456A3CDEAFA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A6-4539-8A5A-456A3CDEAFA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6.9999999999999999E-4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1.1E-4</c:v>
                  </c:pt>
                  <c:pt idx="44">
                    <c:v>2.4000000000000001E-4</c:v>
                  </c:pt>
                  <c:pt idx="45">
                    <c:v>2.9999999999999997E-4</c:v>
                  </c:pt>
                  <c:pt idx="46">
                    <c:v>2.5000000000000001E-4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2.9999999999999997E-4</c:v>
                  </c:pt>
                  <c:pt idx="50">
                    <c:v>0</c:v>
                  </c:pt>
                  <c:pt idx="51">
                    <c:v>5.4999999999999997E-3</c:v>
                  </c:pt>
                  <c:pt idx="5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A6-4539-8A5A-456A3CDEAFA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-5.5</c:v>
                </c:pt>
                <c:pt idx="1">
                  <c:v>0.5</c:v>
                </c:pt>
                <c:pt idx="2">
                  <c:v>1.5</c:v>
                </c:pt>
                <c:pt idx="3">
                  <c:v>75.5</c:v>
                </c:pt>
                <c:pt idx="4">
                  <c:v>75.5</c:v>
                </c:pt>
                <c:pt idx="5">
                  <c:v>114.5</c:v>
                </c:pt>
                <c:pt idx="6">
                  <c:v>124</c:v>
                </c:pt>
                <c:pt idx="7">
                  <c:v>124</c:v>
                </c:pt>
                <c:pt idx="8">
                  <c:v>125.5</c:v>
                </c:pt>
                <c:pt idx="9">
                  <c:v>126</c:v>
                </c:pt>
                <c:pt idx="10">
                  <c:v>131</c:v>
                </c:pt>
                <c:pt idx="11">
                  <c:v>131</c:v>
                </c:pt>
                <c:pt idx="12">
                  <c:v>140</c:v>
                </c:pt>
                <c:pt idx="13">
                  <c:v>188.5</c:v>
                </c:pt>
                <c:pt idx="14">
                  <c:v>190.5</c:v>
                </c:pt>
                <c:pt idx="15">
                  <c:v>190.5</c:v>
                </c:pt>
                <c:pt idx="16">
                  <c:v>193.5</c:v>
                </c:pt>
                <c:pt idx="17">
                  <c:v>200.5</c:v>
                </c:pt>
                <c:pt idx="18">
                  <c:v>258</c:v>
                </c:pt>
                <c:pt idx="19">
                  <c:v>260</c:v>
                </c:pt>
                <c:pt idx="20">
                  <c:v>260</c:v>
                </c:pt>
                <c:pt idx="21">
                  <c:v>457</c:v>
                </c:pt>
                <c:pt idx="22">
                  <c:v>457.5</c:v>
                </c:pt>
                <c:pt idx="23">
                  <c:v>537</c:v>
                </c:pt>
                <c:pt idx="24">
                  <c:v>576.5</c:v>
                </c:pt>
                <c:pt idx="25">
                  <c:v>585.5</c:v>
                </c:pt>
                <c:pt idx="26">
                  <c:v>592.5</c:v>
                </c:pt>
                <c:pt idx="27">
                  <c:v>595.5</c:v>
                </c:pt>
                <c:pt idx="28">
                  <c:v>663.5</c:v>
                </c:pt>
                <c:pt idx="29">
                  <c:v>1520</c:v>
                </c:pt>
                <c:pt idx="30">
                  <c:v>1841.5</c:v>
                </c:pt>
                <c:pt idx="31">
                  <c:v>1861.5</c:v>
                </c:pt>
                <c:pt idx="32">
                  <c:v>1920.5</c:v>
                </c:pt>
                <c:pt idx="33">
                  <c:v>1987</c:v>
                </c:pt>
                <c:pt idx="34">
                  <c:v>1991</c:v>
                </c:pt>
                <c:pt idx="35">
                  <c:v>1992</c:v>
                </c:pt>
                <c:pt idx="36">
                  <c:v>2124.5</c:v>
                </c:pt>
                <c:pt idx="37">
                  <c:v>2126.5</c:v>
                </c:pt>
                <c:pt idx="38">
                  <c:v>4758.5</c:v>
                </c:pt>
                <c:pt idx="39">
                  <c:v>4762.5</c:v>
                </c:pt>
                <c:pt idx="40">
                  <c:v>4764.5</c:v>
                </c:pt>
                <c:pt idx="41">
                  <c:v>4777</c:v>
                </c:pt>
                <c:pt idx="42">
                  <c:v>4795.5</c:v>
                </c:pt>
                <c:pt idx="43">
                  <c:v>4856</c:v>
                </c:pt>
                <c:pt idx="44">
                  <c:v>4894</c:v>
                </c:pt>
                <c:pt idx="45">
                  <c:v>4896</c:v>
                </c:pt>
                <c:pt idx="46">
                  <c:v>4902</c:v>
                </c:pt>
                <c:pt idx="47">
                  <c:v>5174</c:v>
                </c:pt>
                <c:pt idx="48">
                  <c:v>5193</c:v>
                </c:pt>
                <c:pt idx="49">
                  <c:v>5240</c:v>
                </c:pt>
                <c:pt idx="50">
                  <c:v>5307</c:v>
                </c:pt>
                <c:pt idx="51">
                  <c:v>5712</c:v>
                </c:pt>
                <c:pt idx="52">
                  <c:v>5835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-2.488769977104675E-2</c:v>
                </c:pt>
                <c:pt idx="1">
                  <c:v>-2.4762187911462535E-2</c:v>
                </c:pt>
                <c:pt idx="2">
                  <c:v>-2.4741269268198498E-2</c:v>
                </c:pt>
                <c:pt idx="3">
                  <c:v>-2.3193289666659848E-2</c:v>
                </c:pt>
                <c:pt idx="4">
                  <c:v>-2.3193289666659848E-2</c:v>
                </c:pt>
                <c:pt idx="5">
                  <c:v>-2.2377462579362448E-2</c:v>
                </c:pt>
                <c:pt idx="6">
                  <c:v>-2.217873546835411E-2</c:v>
                </c:pt>
                <c:pt idx="7">
                  <c:v>-2.217873546835411E-2</c:v>
                </c:pt>
                <c:pt idx="8">
                  <c:v>-2.2147357503458056E-2</c:v>
                </c:pt>
                <c:pt idx="9">
                  <c:v>-2.2136898181826035E-2</c:v>
                </c:pt>
                <c:pt idx="10">
                  <c:v>-2.2032304965505858E-2</c:v>
                </c:pt>
                <c:pt idx="11">
                  <c:v>-2.2032304965505858E-2</c:v>
                </c:pt>
                <c:pt idx="12">
                  <c:v>-2.1844037176129535E-2</c:v>
                </c:pt>
                <c:pt idx="13">
                  <c:v>-2.0829482977823797E-2</c:v>
                </c:pt>
                <c:pt idx="14">
                  <c:v>-2.0787645691295726E-2</c:v>
                </c:pt>
                <c:pt idx="15">
                  <c:v>-2.0787645691295726E-2</c:v>
                </c:pt>
                <c:pt idx="16">
                  <c:v>-2.0724889761503617E-2</c:v>
                </c:pt>
                <c:pt idx="17">
                  <c:v>-2.0578459258655368E-2</c:v>
                </c:pt>
                <c:pt idx="18">
                  <c:v>-1.9375637270973307E-2</c:v>
                </c:pt>
                <c:pt idx="19">
                  <c:v>-1.9333799984445236E-2</c:v>
                </c:pt>
                <c:pt idx="20">
                  <c:v>-1.9333799984445236E-2</c:v>
                </c:pt>
                <c:pt idx="21">
                  <c:v>-1.5212827261430174E-2</c:v>
                </c:pt>
                <c:pt idx="22">
                  <c:v>-1.5202367939798157E-2</c:v>
                </c:pt>
                <c:pt idx="23">
                  <c:v>-1.3539335800307308E-2</c:v>
                </c:pt>
                <c:pt idx="24">
                  <c:v>-1.2713049391377892E-2</c:v>
                </c:pt>
                <c:pt idx="25">
                  <c:v>-1.2524781602001569E-2</c:v>
                </c:pt>
                <c:pt idx="26">
                  <c:v>-1.2378351099153318E-2</c:v>
                </c:pt>
                <c:pt idx="27">
                  <c:v>-1.2315595169361211E-2</c:v>
                </c:pt>
                <c:pt idx="28">
                  <c:v>-1.0893127427406774E-2</c:v>
                </c:pt>
                <c:pt idx="29">
                  <c:v>7.0236905282399231E-3</c:v>
                </c:pt>
                <c:pt idx="30">
                  <c:v>1.374903433762744E-2</c:v>
                </c:pt>
                <c:pt idx="31">
                  <c:v>1.4167407202908155E-2</c:v>
                </c:pt>
                <c:pt idx="32">
                  <c:v>1.5401607155486274E-2</c:v>
                </c:pt>
                <c:pt idx="33">
                  <c:v>1.6792696932544655E-2</c:v>
                </c:pt>
                <c:pt idx="34">
                  <c:v>1.6876371505600798E-2</c:v>
                </c:pt>
                <c:pt idx="35">
                  <c:v>1.6897290148864832E-2</c:v>
                </c:pt>
                <c:pt idx="36">
                  <c:v>1.9669010381349585E-2</c:v>
                </c:pt>
                <c:pt idx="37">
                  <c:v>1.9710847667877653E-2</c:v>
                </c:pt>
                <c:pt idx="38">
                  <c:v>7.4768716738819976E-2</c:v>
                </c:pt>
                <c:pt idx="39">
                  <c:v>7.4852391311876126E-2</c:v>
                </c:pt>
                <c:pt idx="40">
                  <c:v>7.4894228598404194E-2</c:v>
                </c:pt>
                <c:pt idx="41">
                  <c:v>7.5155711639204648E-2</c:v>
                </c:pt>
                <c:pt idx="42">
                  <c:v>7.5542706539589305E-2</c:v>
                </c:pt>
                <c:pt idx="43">
                  <c:v>7.6808284457063475E-2</c:v>
                </c:pt>
                <c:pt idx="44">
                  <c:v>7.7603192901096837E-2</c:v>
                </c:pt>
                <c:pt idx="45">
                  <c:v>7.7645030187624905E-2</c:v>
                </c:pt>
                <c:pt idx="46">
                  <c:v>7.7770542047209124E-2</c:v>
                </c:pt>
                <c:pt idx="47">
                  <c:v>8.3460413015026866E-2</c:v>
                </c:pt>
                <c:pt idx="48">
                  <c:v>8.3857867237043554E-2</c:v>
                </c:pt>
                <c:pt idx="49">
                  <c:v>8.4841043470453237E-2</c:v>
                </c:pt>
                <c:pt idx="50">
                  <c:v>8.6242592569143642E-2</c:v>
                </c:pt>
                <c:pt idx="51">
                  <c:v>9.4714643091078146E-2</c:v>
                </c:pt>
                <c:pt idx="52">
                  <c:v>9.7287636212554554E-2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A6-4539-8A5A-456A3CDE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485784"/>
        <c:axId val="1"/>
      </c:scatterChart>
      <c:valAx>
        <c:axId val="599485784"/>
        <c:scaling>
          <c:orientation val="minMax"/>
          <c:max val="53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77211799142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485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34177980838814"/>
          <c:y val="0.9204921861831491"/>
          <c:w val="0.8600840327057882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314325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CF9342C-8850-F38C-1EA7-A94CA15B9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28575</xdr:rowOff>
    </xdr:from>
    <xdr:to>
      <xdr:col>27</xdr:col>
      <xdr:colOff>171450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0651AA9-4C5B-AD10-2173-89372EA1B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251" TargetMode="External"/><Relationship Id="rId7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konkoly.hu/cgi-bin/IBVS?5251" TargetMode="External"/><Relationship Id="rId1" Type="http://schemas.openxmlformats.org/officeDocument/2006/relationships/hyperlink" Target="http://www.konkoly.hu/cgi-bin/IBVS?5251" TargetMode="External"/><Relationship Id="rId6" Type="http://schemas.openxmlformats.org/officeDocument/2006/relationships/hyperlink" Target="http://www.konkoly.hu/cgi-bin/IBVS?5357" TargetMode="External"/><Relationship Id="rId5" Type="http://schemas.openxmlformats.org/officeDocument/2006/relationships/hyperlink" Target="http://www.konkoly.hu/cgi-bin/IBVS?5357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251" TargetMode="External"/><Relationship Id="rId9" Type="http://schemas.openxmlformats.org/officeDocument/2006/relationships/hyperlink" Target="http://www.konkoly.hu/cgi-bin/IBVS?5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9" t="s">
        <v>221</v>
      </c>
    </row>
    <row r="2" spans="1:6" x14ac:dyDescent="0.2">
      <c r="A2" t="s">
        <v>26</v>
      </c>
      <c r="B2" s="4" t="s">
        <v>32</v>
      </c>
    </row>
    <row r="3" spans="1:6" x14ac:dyDescent="0.2">
      <c r="D3" s="10" t="s">
        <v>35</v>
      </c>
    </row>
    <row r="4" spans="1:6" ht="14.25" thickTop="1" thickBot="1" x14ac:dyDescent="0.25">
      <c r="A4" s="6" t="s">
        <v>2</v>
      </c>
      <c r="C4" s="2">
        <v>25883.85</v>
      </c>
      <c r="D4" s="3">
        <v>11.12576</v>
      </c>
    </row>
    <row r="5" spans="1:6" ht="13.5" thickTop="1" x14ac:dyDescent="0.2">
      <c r="A5" s="16" t="s">
        <v>39</v>
      </c>
      <c r="B5" s="17"/>
      <c r="C5" s="18">
        <v>-9.5</v>
      </c>
      <c r="D5" s="17" t="s">
        <v>40</v>
      </c>
    </row>
    <row r="6" spans="1:6" x14ac:dyDescent="0.2">
      <c r="A6" s="6" t="s">
        <v>3</v>
      </c>
    </row>
    <row r="7" spans="1:6" x14ac:dyDescent="0.2">
      <c r="A7" t="s">
        <v>4</v>
      </c>
      <c r="C7">
        <f>+C4-C8/2</f>
        <v>25881.097275</v>
      </c>
    </row>
    <row r="8" spans="1:6" x14ac:dyDescent="0.2">
      <c r="A8" t="s">
        <v>5</v>
      </c>
      <c r="C8">
        <v>5.5054499999999997</v>
      </c>
      <c r="D8" t="s">
        <v>36</v>
      </c>
    </row>
    <row r="9" spans="1:6" x14ac:dyDescent="0.2">
      <c r="A9" s="31" t="s">
        <v>44</v>
      </c>
      <c r="B9" s="32">
        <v>59</v>
      </c>
      <c r="C9" s="20" t="str">
        <f>"F"&amp;B9</f>
        <v>F59</v>
      </c>
      <c r="D9" s="21" t="str">
        <f>"G"&amp;B9</f>
        <v>G59</v>
      </c>
    </row>
    <row r="10" spans="1:6" ht="13.5" thickBot="1" x14ac:dyDescent="0.25">
      <c r="A10" s="17"/>
      <c r="B10" s="17"/>
      <c r="C10" s="5" t="s">
        <v>22</v>
      </c>
      <c r="D10" s="5" t="s">
        <v>23</v>
      </c>
      <c r="E10" s="17"/>
    </row>
    <row r="11" spans="1:6" x14ac:dyDescent="0.2">
      <c r="A11" s="17" t="s">
        <v>18</v>
      </c>
      <c r="B11" s="17"/>
      <c r="C11" s="19">
        <f ca="1">INTERCEPT(INDIRECT($D$9):G991,INDIRECT($C$9):F991)</f>
        <v>-2.4772647233094552E-2</v>
      </c>
      <c r="D11" s="4"/>
      <c r="E11" s="17"/>
    </row>
    <row r="12" spans="1:6" x14ac:dyDescent="0.2">
      <c r="A12" s="17" t="s">
        <v>19</v>
      </c>
      <c r="B12" s="17"/>
      <c r="C12" s="19">
        <f ca="1">SLOPE(INDIRECT($D$9):G991,INDIRECT($C$9):F991)</f>
        <v>2.0918643264035837E-5</v>
      </c>
      <c r="D12" s="4"/>
      <c r="E12" s="17"/>
    </row>
    <row r="13" spans="1:6" x14ac:dyDescent="0.2">
      <c r="A13" s="17" t="s">
        <v>21</v>
      </c>
      <c r="B13" s="17"/>
      <c r="C13" s="4" t="s">
        <v>16</v>
      </c>
    </row>
    <row r="14" spans="1:6" x14ac:dyDescent="0.2">
      <c r="A14" s="17"/>
      <c r="B14" s="17"/>
      <c r="C14" s="17"/>
    </row>
    <row r="15" spans="1:6" x14ac:dyDescent="0.2">
      <c r="A15" s="22" t="s">
        <v>20</v>
      </c>
      <c r="B15" s="17"/>
      <c r="C15" s="23">
        <f ca="1">(C7+C11)+(C8+C12)*INT(MAX(F21:F3532))</f>
        <v>58005.495312636209</v>
      </c>
      <c r="E15" s="4"/>
      <c r="F15" s="17"/>
    </row>
    <row r="16" spans="1:6" x14ac:dyDescent="0.2">
      <c r="A16" s="26" t="s">
        <v>6</v>
      </c>
      <c r="B16" s="17"/>
      <c r="C16" s="27">
        <f ca="1">+C8+C12</f>
        <v>5.5054709186432635</v>
      </c>
      <c r="E16" s="17"/>
      <c r="F16" s="17"/>
    </row>
    <row r="17" spans="1:17" ht="13.5" thickBot="1" x14ac:dyDescent="0.25">
      <c r="A17" s="24" t="s">
        <v>38</v>
      </c>
      <c r="B17" s="17"/>
      <c r="C17" s="17">
        <f>COUNT(C21:C2190)</f>
        <v>53</v>
      </c>
      <c r="E17" s="24" t="s">
        <v>41</v>
      </c>
      <c r="F17" s="25">
        <f ca="1">TODAY()+15018.5-B5/24</f>
        <v>60328.5</v>
      </c>
    </row>
    <row r="18" spans="1:17" ht="14.25" thickTop="1" thickBot="1" x14ac:dyDescent="0.25">
      <c r="A18" s="26" t="s">
        <v>7</v>
      </c>
      <c r="B18" s="17"/>
      <c r="C18" s="29">
        <f ca="1">+C15</f>
        <v>58005.495312636209</v>
      </c>
      <c r="D18" s="30">
        <f ca="1">+C16</f>
        <v>5.5054709186432635</v>
      </c>
      <c r="E18" s="24" t="s">
        <v>42</v>
      </c>
      <c r="F18" s="25">
        <f ca="1">ROUND(2*(F17-C15)/C16,0)/2+1</f>
        <v>423</v>
      </c>
    </row>
    <row r="19" spans="1:17" ht="13.5" thickTop="1" x14ac:dyDescent="0.2">
      <c r="E19" s="24" t="s">
        <v>43</v>
      </c>
      <c r="F19" s="28">
        <f ca="1">+C15+C16*F18-15018.5-C5/24</f>
        <v>45316.205344555645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53</v>
      </c>
      <c r="I20" s="8" t="s">
        <v>56</v>
      </c>
      <c r="J20" s="8" t="s">
        <v>50</v>
      </c>
      <c r="K20" s="8" t="s">
        <v>48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 x14ac:dyDescent="0.2">
      <c r="A21" s="46" t="s">
        <v>62</v>
      </c>
      <c r="B21" s="47" t="s">
        <v>31</v>
      </c>
      <c r="C21" s="48">
        <v>25850.368999999999</v>
      </c>
      <c r="D21" s="48" t="s">
        <v>56</v>
      </c>
      <c r="E21">
        <f t="shared" ref="E21:E52" si="0">+(C21-C$7)/C$8</f>
        <v>-5.5814284027647707</v>
      </c>
      <c r="F21">
        <f t="shared" ref="F21:F52" si="1">ROUND(2*E21,0)/2</f>
        <v>-5.5</v>
      </c>
      <c r="G21">
        <f>+C21-(C$7+F21*C$8)</f>
        <v>-0.44830000000001746</v>
      </c>
      <c r="H21">
        <f>+G21</f>
        <v>-0.44830000000001746</v>
      </c>
      <c r="O21">
        <f t="shared" ref="O21:O52" ca="1" si="2">+C$11+C$12*F21</f>
        <v>-2.488769977104675E-2</v>
      </c>
      <c r="Q21" s="1">
        <f t="shared" ref="Q21:Q52" si="3">+C21-15018.5</f>
        <v>10831.868999999999</v>
      </c>
    </row>
    <row r="22" spans="1:17" x14ac:dyDescent="0.2">
      <c r="A22" t="s">
        <v>14</v>
      </c>
      <c r="C22" s="12">
        <v>25883.85</v>
      </c>
      <c r="D22" s="12" t="s">
        <v>16</v>
      </c>
      <c r="E22">
        <f t="shared" si="0"/>
        <v>0.49999999999972089</v>
      </c>
      <c r="F22">
        <f t="shared" si="1"/>
        <v>0.5</v>
      </c>
      <c r="H22">
        <v>0</v>
      </c>
      <c r="O22">
        <f t="shared" ca="1" si="2"/>
        <v>-2.4762187911462535E-2</v>
      </c>
      <c r="Q22" s="1">
        <f t="shared" si="3"/>
        <v>10865.349999999999</v>
      </c>
    </row>
    <row r="23" spans="1:17" x14ac:dyDescent="0.2">
      <c r="A23" s="46" t="s">
        <v>62</v>
      </c>
      <c r="B23" s="47" t="s">
        <v>34</v>
      </c>
      <c r="C23" s="48">
        <v>25889.413</v>
      </c>
      <c r="D23" s="48" t="s">
        <v>56</v>
      </c>
      <c r="E23">
        <f t="shared" si="0"/>
        <v>1.5104532781153919</v>
      </c>
      <c r="F23">
        <f t="shared" si="1"/>
        <v>1.5</v>
      </c>
      <c r="G23">
        <f t="shared" ref="G23:G54" si="4">+C23-(C$7+F23*C$8)</f>
        <v>5.7550000001356238E-2</v>
      </c>
      <c r="H23">
        <f t="shared" ref="H23:H58" si="5">+G23</f>
        <v>5.7550000001356238E-2</v>
      </c>
      <c r="O23">
        <f t="shared" ca="1" si="2"/>
        <v>-2.4741269268198498E-2</v>
      </c>
      <c r="Q23" s="1">
        <f t="shared" si="3"/>
        <v>10870.913</v>
      </c>
    </row>
    <row r="24" spans="1:17" x14ac:dyDescent="0.2">
      <c r="A24" s="49" t="s">
        <v>62</v>
      </c>
      <c r="B24" s="50" t="s">
        <v>31</v>
      </c>
      <c r="C24" s="48">
        <v>26295.383000000002</v>
      </c>
      <c r="D24" s="48" t="s">
        <v>56</v>
      </c>
      <c r="E24">
        <f t="shared" si="0"/>
        <v>75.25011125339465</v>
      </c>
      <c r="F24">
        <f t="shared" si="1"/>
        <v>75.5</v>
      </c>
      <c r="G24">
        <f t="shared" si="4"/>
        <v>-1.3757499999992433</v>
      </c>
      <c r="H24">
        <f t="shared" si="5"/>
        <v>-1.3757499999992433</v>
      </c>
      <c r="O24">
        <f t="shared" ca="1" si="2"/>
        <v>-2.3193289666659848E-2</v>
      </c>
      <c r="Q24" s="1">
        <f t="shared" si="3"/>
        <v>11276.883000000002</v>
      </c>
    </row>
    <row r="25" spans="1:17" x14ac:dyDescent="0.2">
      <c r="A25" s="51" t="s">
        <v>62</v>
      </c>
      <c r="B25" s="47" t="s">
        <v>31</v>
      </c>
      <c r="C25" s="48">
        <v>26295.41</v>
      </c>
      <c r="D25" s="52" t="s">
        <v>56</v>
      </c>
      <c r="E25">
        <f t="shared" si="0"/>
        <v>75.25501548465607</v>
      </c>
      <c r="F25">
        <f t="shared" si="1"/>
        <v>75.5</v>
      </c>
      <c r="G25">
        <f t="shared" si="4"/>
        <v>-1.3487500000010186</v>
      </c>
      <c r="H25">
        <f t="shared" si="5"/>
        <v>-1.3487500000010186</v>
      </c>
      <c r="O25">
        <f t="shared" ca="1" si="2"/>
        <v>-2.3193289666659848E-2</v>
      </c>
      <c r="Q25" s="1">
        <f t="shared" si="3"/>
        <v>11276.91</v>
      </c>
    </row>
    <row r="26" spans="1:17" x14ac:dyDescent="0.2">
      <c r="A26" s="51" t="s">
        <v>62</v>
      </c>
      <c r="B26" s="47" t="s">
        <v>34</v>
      </c>
      <c r="C26" s="48">
        <v>26512.46</v>
      </c>
      <c r="D26" s="52" t="s">
        <v>56</v>
      </c>
      <c r="E26">
        <f t="shared" si="0"/>
        <v>114.67958568327731</v>
      </c>
      <c r="F26">
        <f t="shared" si="1"/>
        <v>114.5</v>
      </c>
      <c r="G26">
        <f t="shared" si="4"/>
        <v>0.98869999999806168</v>
      </c>
      <c r="H26">
        <f t="shared" si="5"/>
        <v>0.98869999999806168</v>
      </c>
      <c r="O26">
        <f t="shared" ca="1" si="2"/>
        <v>-2.2377462579362448E-2</v>
      </c>
      <c r="Q26" s="1">
        <f t="shared" si="3"/>
        <v>11493.96</v>
      </c>
    </row>
    <row r="27" spans="1:17" x14ac:dyDescent="0.2">
      <c r="A27" s="51" t="s">
        <v>62</v>
      </c>
      <c r="B27" s="47" t="s">
        <v>31</v>
      </c>
      <c r="C27" s="48">
        <v>26562.421999999999</v>
      </c>
      <c r="D27" s="52" t="s">
        <v>56</v>
      </c>
      <c r="E27">
        <f t="shared" si="0"/>
        <v>123.75459317585276</v>
      </c>
      <c r="F27">
        <f t="shared" si="1"/>
        <v>124</v>
      </c>
      <c r="G27">
        <f t="shared" si="4"/>
        <v>-1.3510750000023108</v>
      </c>
      <c r="H27">
        <f t="shared" si="5"/>
        <v>-1.3510750000023108</v>
      </c>
      <c r="O27">
        <f t="shared" ca="1" si="2"/>
        <v>-2.217873546835411E-2</v>
      </c>
      <c r="Q27" s="1">
        <f t="shared" si="3"/>
        <v>11543.921999999999</v>
      </c>
    </row>
    <row r="28" spans="1:17" x14ac:dyDescent="0.2">
      <c r="A28" s="51" t="s">
        <v>62</v>
      </c>
      <c r="B28" s="50" t="s">
        <v>31</v>
      </c>
      <c r="C28" s="51">
        <v>26562.498</v>
      </c>
      <c r="D28" s="51" t="s">
        <v>56</v>
      </c>
      <c r="E28">
        <f t="shared" si="0"/>
        <v>123.76839767866379</v>
      </c>
      <c r="F28">
        <f t="shared" si="1"/>
        <v>124</v>
      </c>
      <c r="G28">
        <f t="shared" si="4"/>
        <v>-1.2750750000013795</v>
      </c>
      <c r="H28">
        <f t="shared" si="5"/>
        <v>-1.2750750000013795</v>
      </c>
      <c r="O28">
        <f t="shared" ca="1" si="2"/>
        <v>-2.217873546835411E-2</v>
      </c>
      <c r="Q28" s="1">
        <f t="shared" si="3"/>
        <v>11543.998</v>
      </c>
    </row>
    <row r="29" spans="1:17" x14ac:dyDescent="0.2">
      <c r="A29" s="51" t="s">
        <v>62</v>
      </c>
      <c r="B29" s="50" t="s">
        <v>31</v>
      </c>
      <c r="C29" s="51">
        <v>26573.352999999999</v>
      </c>
      <c r="D29" s="51" t="s">
        <v>56</v>
      </c>
      <c r="E29">
        <f t="shared" si="0"/>
        <v>125.74008028408197</v>
      </c>
      <c r="F29">
        <f t="shared" si="1"/>
        <v>125.5</v>
      </c>
      <c r="G29">
        <f t="shared" si="4"/>
        <v>1.321749999999156</v>
      </c>
      <c r="H29">
        <f t="shared" si="5"/>
        <v>1.321749999999156</v>
      </c>
      <c r="O29">
        <f t="shared" ca="1" si="2"/>
        <v>-2.2147357503458056E-2</v>
      </c>
      <c r="Q29" s="1">
        <f t="shared" si="3"/>
        <v>11554.852999999999</v>
      </c>
    </row>
    <row r="30" spans="1:17" x14ac:dyDescent="0.2">
      <c r="A30" s="51" t="s">
        <v>62</v>
      </c>
      <c r="B30" s="50" t="s">
        <v>31</v>
      </c>
      <c r="C30" s="51">
        <v>26573.435000000001</v>
      </c>
      <c r="D30" s="51" t="s">
        <v>56</v>
      </c>
      <c r="E30">
        <f t="shared" si="0"/>
        <v>125.7549746160625</v>
      </c>
      <c r="F30">
        <f t="shared" si="1"/>
        <v>126</v>
      </c>
      <c r="G30">
        <f t="shared" si="4"/>
        <v>-1.3489749999971536</v>
      </c>
      <c r="H30">
        <f t="shared" si="5"/>
        <v>-1.3489749999971536</v>
      </c>
      <c r="O30">
        <f t="shared" ca="1" si="2"/>
        <v>-2.2136898181826035E-2</v>
      </c>
      <c r="Q30" s="1">
        <f t="shared" si="3"/>
        <v>11554.935000000001</v>
      </c>
    </row>
    <row r="31" spans="1:17" x14ac:dyDescent="0.2">
      <c r="A31" s="51" t="s">
        <v>62</v>
      </c>
      <c r="B31" s="50" t="s">
        <v>34</v>
      </c>
      <c r="C31" s="51">
        <v>26601.484</v>
      </c>
      <c r="D31" s="51" t="s">
        <v>56</v>
      </c>
      <c r="E31">
        <f t="shared" si="0"/>
        <v>130.84974434424078</v>
      </c>
      <c r="F31">
        <f t="shared" si="1"/>
        <v>131</v>
      </c>
      <c r="G31">
        <f t="shared" si="4"/>
        <v>-0.82722500000090804</v>
      </c>
      <c r="H31">
        <f t="shared" si="5"/>
        <v>-0.82722500000090804</v>
      </c>
      <c r="O31">
        <f t="shared" ca="1" si="2"/>
        <v>-2.2032304965505858E-2</v>
      </c>
      <c r="Q31" s="1">
        <f t="shared" si="3"/>
        <v>11582.984</v>
      </c>
    </row>
    <row r="32" spans="1:17" x14ac:dyDescent="0.2">
      <c r="A32" s="51" t="s">
        <v>62</v>
      </c>
      <c r="B32" s="50" t="s">
        <v>34</v>
      </c>
      <c r="C32" s="51">
        <v>26601.526999999998</v>
      </c>
      <c r="D32" s="51" t="s">
        <v>56</v>
      </c>
      <c r="E32">
        <f t="shared" si="0"/>
        <v>130.8575547866202</v>
      </c>
      <c r="F32">
        <f t="shared" si="1"/>
        <v>131</v>
      </c>
      <c r="G32">
        <f t="shared" si="4"/>
        <v>-0.78422500000306172</v>
      </c>
      <c r="H32">
        <f t="shared" si="5"/>
        <v>-0.78422500000306172</v>
      </c>
      <c r="O32">
        <f t="shared" ca="1" si="2"/>
        <v>-2.2032304965505858E-2</v>
      </c>
      <c r="Q32" s="1">
        <f t="shared" si="3"/>
        <v>11583.026999999998</v>
      </c>
    </row>
    <row r="33" spans="1:17" x14ac:dyDescent="0.2">
      <c r="A33" s="51" t="s">
        <v>62</v>
      </c>
      <c r="B33" s="50" t="s">
        <v>31</v>
      </c>
      <c r="C33" s="51">
        <v>26651.350999999999</v>
      </c>
      <c r="D33" s="51" t="s">
        <v>56</v>
      </c>
      <c r="E33">
        <f t="shared" si="0"/>
        <v>139.90749620830243</v>
      </c>
      <c r="F33">
        <f t="shared" si="1"/>
        <v>140</v>
      </c>
      <c r="G33">
        <f t="shared" si="4"/>
        <v>-0.50927500000034343</v>
      </c>
      <c r="H33">
        <f t="shared" si="5"/>
        <v>-0.50927500000034343</v>
      </c>
      <c r="O33">
        <f t="shared" ca="1" si="2"/>
        <v>-2.1844037176129535E-2</v>
      </c>
      <c r="Q33" s="1">
        <f t="shared" si="3"/>
        <v>11632.850999999999</v>
      </c>
    </row>
    <row r="34" spans="1:17" x14ac:dyDescent="0.2">
      <c r="A34" s="51" t="s">
        <v>62</v>
      </c>
      <c r="B34" s="50" t="s">
        <v>31</v>
      </c>
      <c r="C34" s="51">
        <v>26918.535</v>
      </c>
      <c r="D34" s="51" t="s">
        <v>56</v>
      </c>
      <c r="E34">
        <f t="shared" si="0"/>
        <v>188.43831566901886</v>
      </c>
      <c r="F34">
        <f t="shared" si="1"/>
        <v>188.5</v>
      </c>
      <c r="G34">
        <f t="shared" si="4"/>
        <v>-0.33959999999933643</v>
      </c>
      <c r="H34">
        <f t="shared" si="5"/>
        <v>-0.33959999999933643</v>
      </c>
      <c r="O34">
        <f t="shared" ca="1" si="2"/>
        <v>-2.0829482977823797E-2</v>
      </c>
      <c r="Q34" s="1">
        <f t="shared" si="3"/>
        <v>11900.035</v>
      </c>
    </row>
    <row r="35" spans="1:17" x14ac:dyDescent="0.2">
      <c r="A35" s="51" t="s">
        <v>62</v>
      </c>
      <c r="B35" s="50" t="s">
        <v>31</v>
      </c>
      <c r="C35" s="51">
        <v>26929.524000000001</v>
      </c>
      <c r="D35" s="51" t="s">
        <v>56</v>
      </c>
      <c r="E35">
        <f t="shared" si="0"/>
        <v>190.43433779255125</v>
      </c>
      <c r="F35">
        <f t="shared" si="1"/>
        <v>190.5</v>
      </c>
      <c r="G35">
        <f t="shared" si="4"/>
        <v>-0.36149999999906868</v>
      </c>
      <c r="H35">
        <f t="shared" si="5"/>
        <v>-0.36149999999906868</v>
      </c>
      <c r="O35">
        <f t="shared" ca="1" si="2"/>
        <v>-2.0787645691295726E-2</v>
      </c>
      <c r="Q35" s="1">
        <f t="shared" si="3"/>
        <v>11911.024000000001</v>
      </c>
    </row>
    <row r="36" spans="1:17" x14ac:dyDescent="0.2">
      <c r="A36" s="51" t="s">
        <v>62</v>
      </c>
      <c r="B36" s="50" t="s">
        <v>31</v>
      </c>
      <c r="C36" s="51">
        <v>26929.544999999998</v>
      </c>
      <c r="D36" s="51" t="s">
        <v>56</v>
      </c>
      <c r="E36">
        <f t="shared" si="0"/>
        <v>190.43815219464318</v>
      </c>
      <c r="F36">
        <f t="shared" si="1"/>
        <v>190.5</v>
      </c>
      <c r="G36">
        <f t="shared" si="4"/>
        <v>-0.34050000000206637</v>
      </c>
      <c r="H36">
        <f t="shared" si="5"/>
        <v>-0.34050000000206637</v>
      </c>
      <c r="O36">
        <f t="shared" ca="1" si="2"/>
        <v>-2.0787645691295726E-2</v>
      </c>
      <c r="Q36" s="1">
        <f t="shared" si="3"/>
        <v>11911.044999999998</v>
      </c>
    </row>
    <row r="37" spans="1:17" x14ac:dyDescent="0.2">
      <c r="A37" s="51" t="s">
        <v>62</v>
      </c>
      <c r="B37" s="50" t="s">
        <v>34</v>
      </c>
      <c r="C37" s="51">
        <v>26946.452000000001</v>
      </c>
      <c r="D37" s="51" t="s">
        <v>56</v>
      </c>
      <c r="E37">
        <f t="shared" si="0"/>
        <v>193.50910915547342</v>
      </c>
      <c r="F37">
        <f t="shared" si="1"/>
        <v>193.5</v>
      </c>
      <c r="G37">
        <f t="shared" si="4"/>
        <v>5.0150000002759043E-2</v>
      </c>
      <c r="H37">
        <f t="shared" si="5"/>
        <v>5.0150000002759043E-2</v>
      </c>
      <c r="O37">
        <f t="shared" ca="1" si="2"/>
        <v>-2.0724889761503617E-2</v>
      </c>
      <c r="Q37" s="1">
        <f t="shared" si="3"/>
        <v>11927.952000000001</v>
      </c>
    </row>
    <row r="38" spans="1:17" x14ac:dyDescent="0.2">
      <c r="A38" s="51" t="s">
        <v>62</v>
      </c>
      <c r="B38" s="50" t="s">
        <v>31</v>
      </c>
      <c r="C38" s="51">
        <v>26985.418000000001</v>
      </c>
      <c r="D38" s="51" t="s">
        <v>56</v>
      </c>
      <c r="E38">
        <f t="shared" si="0"/>
        <v>200.58682305715271</v>
      </c>
      <c r="F38">
        <f t="shared" si="1"/>
        <v>200.5</v>
      </c>
      <c r="G38">
        <f t="shared" si="4"/>
        <v>0.47800000000279397</v>
      </c>
      <c r="H38">
        <f t="shared" si="5"/>
        <v>0.47800000000279397</v>
      </c>
      <c r="O38">
        <f t="shared" ca="1" si="2"/>
        <v>-2.0578459258655368E-2</v>
      </c>
      <c r="Q38" s="1">
        <f t="shared" si="3"/>
        <v>11966.918000000001</v>
      </c>
    </row>
    <row r="39" spans="1:17" x14ac:dyDescent="0.2">
      <c r="A39" s="51" t="s">
        <v>62</v>
      </c>
      <c r="B39" s="50" t="s">
        <v>34</v>
      </c>
      <c r="C39" s="51">
        <v>27302.491000000002</v>
      </c>
      <c r="D39" s="51" t="s">
        <v>56</v>
      </c>
      <c r="E39">
        <f t="shared" si="0"/>
        <v>258.17939042221832</v>
      </c>
      <c r="F39">
        <f t="shared" si="1"/>
        <v>258</v>
      </c>
      <c r="G39">
        <f t="shared" si="4"/>
        <v>0.98762500000157161</v>
      </c>
      <c r="H39">
        <f t="shared" si="5"/>
        <v>0.98762500000157161</v>
      </c>
      <c r="O39">
        <f t="shared" ca="1" si="2"/>
        <v>-1.9375637270973307E-2</v>
      </c>
      <c r="Q39" s="1">
        <f t="shared" si="3"/>
        <v>12283.991000000002</v>
      </c>
    </row>
    <row r="40" spans="1:17" x14ac:dyDescent="0.2">
      <c r="A40" s="51" t="s">
        <v>62</v>
      </c>
      <c r="B40" s="50" t="s">
        <v>34</v>
      </c>
      <c r="C40" s="51">
        <v>27313.381000000001</v>
      </c>
      <c r="D40" s="51" t="s">
        <v>56</v>
      </c>
      <c r="E40">
        <f t="shared" si="0"/>
        <v>260.15743036445724</v>
      </c>
      <c r="F40">
        <f t="shared" si="1"/>
        <v>260</v>
      </c>
      <c r="G40">
        <f t="shared" si="4"/>
        <v>0.8667249999998603</v>
      </c>
      <c r="H40">
        <f t="shared" si="5"/>
        <v>0.8667249999998603</v>
      </c>
      <c r="O40">
        <f t="shared" ca="1" si="2"/>
        <v>-1.9333799984445236E-2</v>
      </c>
      <c r="Q40" s="1">
        <f t="shared" si="3"/>
        <v>12294.881000000001</v>
      </c>
    </row>
    <row r="41" spans="1:17" x14ac:dyDescent="0.2">
      <c r="A41" s="51" t="s">
        <v>62</v>
      </c>
      <c r="B41" s="50" t="s">
        <v>34</v>
      </c>
      <c r="C41" s="51">
        <v>27313.402999999998</v>
      </c>
      <c r="D41" s="51" t="s">
        <v>56</v>
      </c>
      <c r="E41">
        <f t="shared" si="0"/>
        <v>260.16142640474408</v>
      </c>
      <c r="F41">
        <f t="shared" si="1"/>
        <v>260</v>
      </c>
      <c r="G41">
        <f t="shared" si="4"/>
        <v>0.88872499999706633</v>
      </c>
      <c r="H41">
        <f t="shared" si="5"/>
        <v>0.88872499999706633</v>
      </c>
      <c r="O41">
        <f t="shared" ca="1" si="2"/>
        <v>-1.9333799984445236E-2</v>
      </c>
      <c r="Q41" s="1">
        <f t="shared" si="3"/>
        <v>12294.902999999998</v>
      </c>
    </row>
    <row r="42" spans="1:17" x14ac:dyDescent="0.2">
      <c r="A42" s="51" t="s">
        <v>62</v>
      </c>
      <c r="B42" s="50" t="s">
        <v>31</v>
      </c>
      <c r="C42" s="51">
        <v>28398.454000000002</v>
      </c>
      <c r="D42" s="51" t="s">
        <v>56</v>
      </c>
      <c r="E42">
        <f t="shared" si="0"/>
        <v>457.24813139707044</v>
      </c>
      <c r="F42">
        <f t="shared" si="1"/>
        <v>457</v>
      </c>
      <c r="G42">
        <f t="shared" si="4"/>
        <v>1.3660750000017288</v>
      </c>
      <c r="H42">
        <f t="shared" si="5"/>
        <v>1.3660750000017288</v>
      </c>
      <c r="O42">
        <f t="shared" ca="1" si="2"/>
        <v>-1.5212827261430174E-2</v>
      </c>
      <c r="Q42" s="1">
        <f t="shared" si="3"/>
        <v>13379.954000000002</v>
      </c>
    </row>
    <row r="43" spans="1:17" x14ac:dyDescent="0.2">
      <c r="A43" s="51" t="s">
        <v>62</v>
      </c>
      <c r="B43" s="50" t="s">
        <v>31</v>
      </c>
      <c r="C43" s="51">
        <v>28398.474999999999</v>
      </c>
      <c r="D43" s="51" t="s">
        <v>56</v>
      </c>
      <c r="E43">
        <f t="shared" si="0"/>
        <v>457.2519457991624</v>
      </c>
      <c r="F43">
        <f t="shared" si="1"/>
        <v>457.5</v>
      </c>
      <c r="G43">
        <f t="shared" si="4"/>
        <v>-1.3656499999997322</v>
      </c>
      <c r="H43">
        <f t="shared" si="5"/>
        <v>-1.3656499999997322</v>
      </c>
      <c r="O43">
        <f t="shared" ca="1" si="2"/>
        <v>-1.5202367939798157E-2</v>
      </c>
      <c r="Q43" s="1">
        <f t="shared" si="3"/>
        <v>13379.974999999999</v>
      </c>
    </row>
    <row r="44" spans="1:17" x14ac:dyDescent="0.2">
      <c r="A44" s="51" t="s">
        <v>62</v>
      </c>
      <c r="B44" s="50" t="s">
        <v>34</v>
      </c>
      <c r="C44" s="51">
        <v>28837.477999999999</v>
      </c>
      <c r="D44" s="51" t="s">
        <v>56</v>
      </c>
      <c r="E44">
        <f t="shared" si="0"/>
        <v>536.99165826590001</v>
      </c>
      <c r="F44">
        <f t="shared" si="1"/>
        <v>537</v>
      </c>
      <c r="G44">
        <f t="shared" si="4"/>
        <v>-4.5925000002171146E-2</v>
      </c>
      <c r="H44">
        <f t="shared" si="5"/>
        <v>-4.5925000002171146E-2</v>
      </c>
      <c r="O44">
        <f t="shared" ca="1" si="2"/>
        <v>-1.3539335800307308E-2</v>
      </c>
      <c r="Q44" s="1">
        <f t="shared" si="3"/>
        <v>13818.977999999999</v>
      </c>
    </row>
    <row r="45" spans="1:17" x14ac:dyDescent="0.2">
      <c r="A45" s="51" t="s">
        <v>62</v>
      </c>
      <c r="B45" s="50" t="s">
        <v>31</v>
      </c>
      <c r="C45" s="51">
        <v>29054.506000000001</v>
      </c>
      <c r="D45" s="51" t="s">
        <v>56</v>
      </c>
      <c r="E45">
        <f t="shared" si="0"/>
        <v>576.41223242423439</v>
      </c>
      <c r="F45">
        <f t="shared" si="1"/>
        <v>576.5</v>
      </c>
      <c r="G45">
        <f t="shared" si="4"/>
        <v>-0.48319999999876018</v>
      </c>
      <c r="H45">
        <f t="shared" si="5"/>
        <v>-0.48319999999876018</v>
      </c>
      <c r="O45">
        <f t="shared" ca="1" si="2"/>
        <v>-1.2713049391377892E-2</v>
      </c>
      <c r="Q45" s="1">
        <f t="shared" si="3"/>
        <v>14036.006000000001</v>
      </c>
    </row>
    <row r="46" spans="1:17" x14ac:dyDescent="0.2">
      <c r="A46" s="51" t="s">
        <v>62</v>
      </c>
      <c r="B46" s="50" t="s">
        <v>34</v>
      </c>
      <c r="C46" s="51">
        <v>29104.521000000001</v>
      </c>
      <c r="D46" s="51" t="s">
        <v>56</v>
      </c>
      <c r="E46">
        <f t="shared" si="0"/>
        <v>585.49686674113843</v>
      </c>
      <c r="F46">
        <f t="shared" si="1"/>
        <v>585.5</v>
      </c>
      <c r="G46">
        <f t="shared" si="4"/>
        <v>-1.7250000000785803E-2</v>
      </c>
      <c r="H46">
        <f t="shared" si="5"/>
        <v>-1.7250000000785803E-2</v>
      </c>
      <c r="O46">
        <f t="shared" ca="1" si="2"/>
        <v>-1.2524781602001569E-2</v>
      </c>
      <c r="Q46" s="1">
        <f t="shared" si="3"/>
        <v>14086.021000000001</v>
      </c>
    </row>
    <row r="47" spans="1:17" x14ac:dyDescent="0.2">
      <c r="A47" s="51" t="s">
        <v>62</v>
      </c>
      <c r="B47" s="50" t="s">
        <v>31</v>
      </c>
      <c r="C47" s="51">
        <v>29143.486000000001</v>
      </c>
      <c r="D47" s="51" t="s">
        <v>56</v>
      </c>
      <c r="E47">
        <f t="shared" si="0"/>
        <v>592.57439900462282</v>
      </c>
      <c r="F47">
        <f t="shared" si="1"/>
        <v>592.5</v>
      </c>
      <c r="G47">
        <f t="shared" si="4"/>
        <v>0.40960000000268337</v>
      </c>
      <c r="H47">
        <f t="shared" si="5"/>
        <v>0.40960000000268337</v>
      </c>
      <c r="O47">
        <f t="shared" ca="1" si="2"/>
        <v>-1.2378351099153318E-2</v>
      </c>
      <c r="Q47" s="1">
        <f t="shared" si="3"/>
        <v>14124.986000000001</v>
      </c>
    </row>
    <row r="48" spans="1:17" x14ac:dyDescent="0.2">
      <c r="A48" s="51" t="s">
        <v>62</v>
      </c>
      <c r="B48" s="50" t="s">
        <v>34</v>
      </c>
      <c r="C48" s="51">
        <v>29160.429</v>
      </c>
      <c r="D48" s="51" t="s">
        <v>56</v>
      </c>
      <c r="E48">
        <f t="shared" si="0"/>
        <v>595.65189494046808</v>
      </c>
      <c r="F48">
        <f t="shared" si="1"/>
        <v>595.5</v>
      </c>
      <c r="G48">
        <f t="shared" si="4"/>
        <v>0.83625000000029104</v>
      </c>
      <c r="H48">
        <f t="shared" si="5"/>
        <v>0.83625000000029104</v>
      </c>
      <c r="O48">
        <f t="shared" ca="1" si="2"/>
        <v>-1.2315595169361211E-2</v>
      </c>
      <c r="Q48" s="1">
        <f t="shared" si="3"/>
        <v>14141.929</v>
      </c>
    </row>
    <row r="49" spans="1:17" x14ac:dyDescent="0.2">
      <c r="A49" s="51" t="s">
        <v>62</v>
      </c>
      <c r="B49" s="50" t="s">
        <v>31</v>
      </c>
      <c r="C49" s="51">
        <v>29533.324000000001</v>
      </c>
      <c r="D49" s="51" t="s">
        <v>56</v>
      </c>
      <c r="E49">
        <f t="shared" si="0"/>
        <v>663.38386962010384</v>
      </c>
      <c r="F49">
        <f t="shared" si="1"/>
        <v>663.5</v>
      </c>
      <c r="G49">
        <f t="shared" si="4"/>
        <v>-0.63934999999764841</v>
      </c>
      <c r="H49">
        <f t="shared" si="5"/>
        <v>-0.63934999999764841</v>
      </c>
      <c r="O49">
        <f t="shared" ca="1" si="2"/>
        <v>-1.0893127427406774E-2</v>
      </c>
      <c r="Q49" s="1">
        <f t="shared" si="3"/>
        <v>14514.824000000001</v>
      </c>
    </row>
    <row r="50" spans="1:17" x14ac:dyDescent="0.2">
      <c r="A50" s="51" t="s">
        <v>62</v>
      </c>
      <c r="B50" s="50" t="s">
        <v>31</v>
      </c>
      <c r="C50" s="51">
        <v>34250.430999999997</v>
      </c>
      <c r="D50" s="51" t="s">
        <v>56</v>
      </c>
      <c r="E50">
        <f t="shared" si="0"/>
        <v>1520.1906701541195</v>
      </c>
      <c r="F50">
        <f t="shared" si="1"/>
        <v>1520</v>
      </c>
      <c r="G50">
        <f t="shared" si="4"/>
        <v>1.0497249999971245</v>
      </c>
      <c r="H50">
        <f t="shared" si="5"/>
        <v>1.0497249999971245</v>
      </c>
      <c r="O50">
        <f t="shared" ca="1" si="2"/>
        <v>7.0236905282399231E-3</v>
      </c>
      <c r="Q50" s="1">
        <f t="shared" si="3"/>
        <v>19231.930999999997</v>
      </c>
    </row>
    <row r="51" spans="1:17" x14ac:dyDescent="0.2">
      <c r="A51" s="51" t="s">
        <v>62</v>
      </c>
      <c r="B51" s="50" t="s">
        <v>31</v>
      </c>
      <c r="C51" s="51">
        <v>36019.508999999998</v>
      </c>
      <c r="D51" s="51" t="s">
        <v>56</v>
      </c>
      <c r="E51">
        <f t="shared" si="0"/>
        <v>1841.5228046753668</v>
      </c>
      <c r="F51">
        <f t="shared" si="1"/>
        <v>1841.5</v>
      </c>
      <c r="G51">
        <f t="shared" si="4"/>
        <v>0.12554999999701977</v>
      </c>
      <c r="H51">
        <f t="shared" si="5"/>
        <v>0.12554999999701977</v>
      </c>
      <c r="O51">
        <f t="shared" ca="1" si="2"/>
        <v>1.374903433762744E-2</v>
      </c>
      <c r="Q51" s="1">
        <f t="shared" si="3"/>
        <v>21001.008999999998</v>
      </c>
    </row>
    <row r="52" spans="1:17" x14ac:dyDescent="0.2">
      <c r="A52" s="51" t="s">
        <v>62</v>
      </c>
      <c r="B52" s="50" t="s">
        <v>31</v>
      </c>
      <c r="C52" s="51">
        <v>36130.419000000002</v>
      </c>
      <c r="D52" s="51" t="s">
        <v>56</v>
      </c>
      <c r="E52">
        <f t="shared" si="0"/>
        <v>1861.6682968694661</v>
      </c>
      <c r="F52">
        <f t="shared" si="1"/>
        <v>1861.5</v>
      </c>
      <c r="G52">
        <f t="shared" si="4"/>
        <v>0.92655000000377186</v>
      </c>
      <c r="H52">
        <f t="shared" si="5"/>
        <v>0.92655000000377186</v>
      </c>
      <c r="O52">
        <f t="shared" ca="1" si="2"/>
        <v>1.4167407202908155E-2</v>
      </c>
      <c r="Q52" s="1">
        <f t="shared" si="3"/>
        <v>21111.919000000002</v>
      </c>
    </row>
    <row r="53" spans="1:17" x14ac:dyDescent="0.2">
      <c r="A53" s="51" t="s">
        <v>62</v>
      </c>
      <c r="B53" s="50" t="s">
        <v>31</v>
      </c>
      <c r="C53" s="51">
        <v>36453.455000000002</v>
      </c>
      <c r="D53" s="51" t="s">
        <v>56</v>
      </c>
      <c r="E53">
        <f t="shared" ref="E53:E71" si="6">+(C53-C$7)/C$8</f>
        <v>1920.3439727905989</v>
      </c>
      <c r="F53">
        <f t="shared" ref="F53:F73" si="7">ROUND(2*E53,0)/2</f>
        <v>1920.5</v>
      </c>
      <c r="G53">
        <f t="shared" si="4"/>
        <v>-0.85899999999674037</v>
      </c>
      <c r="H53">
        <f t="shared" si="5"/>
        <v>-0.85899999999674037</v>
      </c>
      <c r="O53">
        <f t="shared" ref="O53:O71" ca="1" si="8">+C$11+C$12*F53</f>
        <v>1.5401607155486274E-2</v>
      </c>
      <c r="Q53" s="1">
        <f t="shared" ref="Q53:Q71" si="9">+C53-15018.5</f>
        <v>21434.955000000002</v>
      </c>
    </row>
    <row r="54" spans="1:17" x14ac:dyDescent="0.2">
      <c r="A54" s="51" t="s">
        <v>62</v>
      </c>
      <c r="B54" s="50" t="s">
        <v>31</v>
      </c>
      <c r="C54" s="51">
        <v>36820.472000000002</v>
      </c>
      <c r="D54" s="51" t="s">
        <v>56</v>
      </c>
      <c r="E54">
        <f t="shared" si="6"/>
        <v>1987.0082781607321</v>
      </c>
      <c r="F54">
        <f t="shared" si="7"/>
        <v>1987</v>
      </c>
      <c r="G54">
        <f t="shared" si="4"/>
        <v>4.5575000003736932E-2</v>
      </c>
      <c r="H54">
        <f t="shared" si="5"/>
        <v>4.5575000003736932E-2</v>
      </c>
      <c r="O54">
        <f t="shared" ca="1" si="8"/>
        <v>1.6792696932544655E-2</v>
      </c>
      <c r="Q54" s="1">
        <f t="shared" si="9"/>
        <v>21801.972000000002</v>
      </c>
    </row>
    <row r="55" spans="1:17" x14ac:dyDescent="0.2">
      <c r="A55" s="51" t="s">
        <v>62</v>
      </c>
      <c r="B55" s="50" t="s">
        <v>31</v>
      </c>
      <c r="C55" s="51">
        <v>36842.423999999999</v>
      </c>
      <c r="D55" s="51" t="s">
        <v>56</v>
      </c>
      <c r="E55">
        <f t="shared" si="6"/>
        <v>1990.9955998147288</v>
      </c>
      <c r="F55">
        <f t="shared" si="7"/>
        <v>1991</v>
      </c>
      <c r="G55">
        <f t="shared" ref="G55:G71" si="10">+C55-(C$7+F55*C$8)</f>
        <v>-2.4225000001024455E-2</v>
      </c>
      <c r="H55">
        <f t="shared" si="5"/>
        <v>-2.4225000001024455E-2</v>
      </c>
      <c r="O55">
        <f t="shared" ca="1" si="8"/>
        <v>1.6876371505600798E-2</v>
      </c>
      <c r="Q55" s="1">
        <f t="shared" si="9"/>
        <v>21823.923999999999</v>
      </c>
    </row>
    <row r="56" spans="1:17" x14ac:dyDescent="0.2">
      <c r="A56" s="51" t="s">
        <v>62</v>
      </c>
      <c r="B56" s="50" t="s">
        <v>34</v>
      </c>
      <c r="C56" s="51">
        <v>36848.375</v>
      </c>
      <c r="D56" s="51" t="s">
        <v>56</v>
      </c>
      <c r="E56">
        <f t="shared" si="6"/>
        <v>1992.0765287124577</v>
      </c>
      <c r="F56">
        <f t="shared" si="7"/>
        <v>1992</v>
      </c>
      <c r="G56">
        <f t="shared" si="10"/>
        <v>0.42132500000298023</v>
      </c>
      <c r="H56">
        <f t="shared" si="5"/>
        <v>0.42132500000298023</v>
      </c>
      <c r="O56">
        <f t="shared" ca="1" si="8"/>
        <v>1.6897290148864832E-2</v>
      </c>
      <c r="Q56" s="1">
        <f t="shared" si="9"/>
        <v>21829.875</v>
      </c>
    </row>
    <row r="57" spans="1:17" x14ac:dyDescent="0.2">
      <c r="A57" s="51" t="s">
        <v>62</v>
      </c>
      <c r="B57" s="50" t="s">
        <v>31</v>
      </c>
      <c r="C57" s="51">
        <v>37577.385000000002</v>
      </c>
      <c r="D57" s="51" t="s">
        <v>56</v>
      </c>
      <c r="E57">
        <f t="shared" si="6"/>
        <v>2124.4925891616494</v>
      </c>
      <c r="F57">
        <f t="shared" si="7"/>
        <v>2124.5</v>
      </c>
      <c r="G57">
        <f t="shared" si="10"/>
        <v>-4.079999999521533E-2</v>
      </c>
      <c r="H57">
        <f t="shared" si="5"/>
        <v>-4.079999999521533E-2</v>
      </c>
      <c r="O57">
        <f t="shared" ca="1" si="8"/>
        <v>1.9669010381349585E-2</v>
      </c>
      <c r="Q57" s="1">
        <f t="shared" si="9"/>
        <v>22558.885000000002</v>
      </c>
    </row>
    <row r="58" spans="1:17" x14ac:dyDescent="0.2">
      <c r="A58" s="51" t="s">
        <v>62</v>
      </c>
      <c r="B58" s="50" t="s">
        <v>31</v>
      </c>
      <c r="C58" s="51">
        <v>37588.406000000003</v>
      </c>
      <c r="D58" s="51" t="s">
        <v>56</v>
      </c>
      <c r="E58">
        <f t="shared" si="6"/>
        <v>2126.4944237074178</v>
      </c>
      <c r="F58">
        <f t="shared" si="7"/>
        <v>2126.5</v>
      </c>
      <c r="G58">
        <f t="shared" si="10"/>
        <v>-3.0699999995704275E-2</v>
      </c>
      <c r="H58">
        <f t="shared" si="5"/>
        <v>-3.0699999995704275E-2</v>
      </c>
      <c r="O58">
        <f t="shared" ca="1" si="8"/>
        <v>1.9710847667877653E-2</v>
      </c>
      <c r="Q58" s="1">
        <f t="shared" si="9"/>
        <v>22569.906000000003</v>
      </c>
    </row>
    <row r="59" spans="1:17" ht="12.75" customHeight="1" x14ac:dyDescent="0.2">
      <c r="A59" t="s">
        <v>33</v>
      </c>
      <c r="B59" s="9" t="s">
        <v>34</v>
      </c>
      <c r="C59" s="13">
        <v>52078.856399999997</v>
      </c>
      <c r="D59" s="13">
        <v>4.0000000000000002E-4</v>
      </c>
      <c r="E59">
        <f t="shared" si="6"/>
        <v>4758.5136773560744</v>
      </c>
      <c r="F59">
        <f t="shared" si="7"/>
        <v>4758.5</v>
      </c>
      <c r="G59">
        <f t="shared" si="10"/>
        <v>7.5299999996786937E-2</v>
      </c>
      <c r="K59">
        <f t="shared" ref="K59:K71" si="11">+G59</f>
        <v>7.5299999996786937E-2</v>
      </c>
      <c r="O59">
        <f t="shared" ca="1" si="8"/>
        <v>7.4768716738819976E-2</v>
      </c>
      <c r="Q59" s="1">
        <f t="shared" si="9"/>
        <v>37060.356399999997</v>
      </c>
    </row>
    <row r="60" spans="1:17" x14ac:dyDescent="0.2">
      <c r="A60" t="s">
        <v>33</v>
      </c>
      <c r="B60" s="9" t="s">
        <v>34</v>
      </c>
      <c r="C60" s="13">
        <v>52100.876300000004</v>
      </c>
      <c r="D60" s="13">
        <v>6.9999999999999999E-4</v>
      </c>
      <c r="E60">
        <f t="shared" si="6"/>
        <v>4762.5133322435049</v>
      </c>
      <c r="F60">
        <f t="shared" si="7"/>
        <v>4762.5</v>
      </c>
      <c r="G60">
        <f t="shared" si="10"/>
        <v>7.3400000008405186E-2</v>
      </c>
      <c r="K60">
        <f t="shared" si="11"/>
        <v>7.3400000008405186E-2</v>
      </c>
      <c r="O60">
        <f t="shared" ca="1" si="8"/>
        <v>7.4852391311876126E-2</v>
      </c>
      <c r="Q60" s="1">
        <f t="shared" si="9"/>
        <v>37082.376300000004</v>
      </c>
    </row>
    <row r="61" spans="1:17" x14ac:dyDescent="0.2">
      <c r="A61" t="s">
        <v>33</v>
      </c>
      <c r="B61" s="9" t="s">
        <v>34</v>
      </c>
      <c r="C61" s="13">
        <v>52111.888599999998</v>
      </c>
      <c r="D61" s="13">
        <v>5.0000000000000001E-4</v>
      </c>
      <c r="E61">
        <f t="shared" si="6"/>
        <v>4764.5135865369766</v>
      </c>
      <c r="F61">
        <f t="shared" si="7"/>
        <v>4764.5</v>
      </c>
      <c r="G61">
        <f t="shared" si="10"/>
        <v>7.4799999994866084E-2</v>
      </c>
      <c r="K61">
        <f t="shared" si="11"/>
        <v>7.4799999994866084E-2</v>
      </c>
      <c r="O61">
        <f t="shared" ca="1" si="8"/>
        <v>7.4894228598404194E-2</v>
      </c>
      <c r="Q61" s="1">
        <f t="shared" si="9"/>
        <v>37093.388599999998</v>
      </c>
    </row>
    <row r="62" spans="1:17" x14ac:dyDescent="0.2">
      <c r="A62" t="s">
        <v>33</v>
      </c>
      <c r="B62" s="9" t="s">
        <v>31</v>
      </c>
      <c r="C62" s="13">
        <v>52180.707399999999</v>
      </c>
      <c r="D62" s="13">
        <v>2.9999999999999997E-4</v>
      </c>
      <c r="E62">
        <f t="shared" si="6"/>
        <v>4777.0137091427587</v>
      </c>
      <c r="F62">
        <f t="shared" si="7"/>
        <v>4777</v>
      </c>
      <c r="G62">
        <f t="shared" si="10"/>
        <v>7.5475000005098991E-2</v>
      </c>
      <c r="K62">
        <f t="shared" si="11"/>
        <v>7.5475000005098991E-2</v>
      </c>
      <c r="O62">
        <f t="shared" ca="1" si="8"/>
        <v>7.5155711639204648E-2</v>
      </c>
      <c r="Q62" s="1">
        <f t="shared" si="9"/>
        <v>37162.207399999999</v>
      </c>
    </row>
    <row r="63" spans="1:17" x14ac:dyDescent="0.2">
      <c r="A63" s="11" t="s">
        <v>37</v>
      </c>
      <c r="B63" s="9" t="s">
        <v>34</v>
      </c>
      <c r="C63" s="13">
        <v>52282.558599999997</v>
      </c>
      <c r="D63" s="14">
        <v>2.9999999999999997E-4</v>
      </c>
      <c r="E63">
        <f t="shared" si="6"/>
        <v>4795.5137772570815</v>
      </c>
      <c r="F63">
        <f t="shared" si="7"/>
        <v>4795.5</v>
      </c>
      <c r="G63">
        <f t="shared" si="10"/>
        <v>7.5850000001082662E-2</v>
      </c>
      <c r="K63">
        <f t="shared" si="11"/>
        <v>7.5850000001082662E-2</v>
      </c>
      <c r="O63">
        <f t="shared" ca="1" si="8"/>
        <v>7.5542706539589305E-2</v>
      </c>
      <c r="Q63" s="1">
        <f t="shared" si="9"/>
        <v>37264.058599999997</v>
      </c>
    </row>
    <row r="64" spans="1:17" x14ac:dyDescent="0.2">
      <c r="A64" s="11" t="s">
        <v>37</v>
      </c>
      <c r="B64" s="9" t="s">
        <v>31</v>
      </c>
      <c r="C64" s="13">
        <v>52615.638890000002</v>
      </c>
      <c r="D64" s="14">
        <v>1.1E-4</v>
      </c>
      <c r="E64">
        <f t="shared" si="6"/>
        <v>4856.013879882662</v>
      </c>
      <c r="F64">
        <f t="shared" si="7"/>
        <v>4856</v>
      </c>
      <c r="G64">
        <f t="shared" si="10"/>
        <v>7.6415000003180467E-2</v>
      </c>
      <c r="K64">
        <f t="shared" si="11"/>
        <v>7.6415000003180467E-2</v>
      </c>
      <c r="O64">
        <f t="shared" ca="1" si="8"/>
        <v>7.6808284457063475E-2</v>
      </c>
      <c r="Q64" s="1">
        <f t="shared" si="9"/>
        <v>37597.138890000002</v>
      </c>
    </row>
    <row r="65" spans="1:17" x14ac:dyDescent="0.2">
      <c r="A65" t="s">
        <v>30</v>
      </c>
      <c r="B65" s="9" t="s">
        <v>31</v>
      </c>
      <c r="C65" s="13">
        <v>52824.84721</v>
      </c>
      <c r="D65" s="13">
        <v>2.4000000000000001E-4</v>
      </c>
      <c r="E65">
        <f t="shared" si="6"/>
        <v>4894.0141014812598</v>
      </c>
      <c r="F65">
        <f t="shared" si="7"/>
        <v>4894</v>
      </c>
      <c r="G65">
        <f t="shared" si="10"/>
        <v>7.7635000001464505E-2</v>
      </c>
      <c r="K65">
        <f t="shared" si="11"/>
        <v>7.7635000001464505E-2</v>
      </c>
      <c r="O65">
        <f t="shared" ca="1" si="8"/>
        <v>7.7603192901096837E-2</v>
      </c>
      <c r="Q65" s="1">
        <f t="shared" si="9"/>
        <v>37806.34721</v>
      </c>
    </row>
    <row r="66" spans="1:17" x14ac:dyDescent="0.2">
      <c r="A66" t="s">
        <v>30</v>
      </c>
      <c r="B66" s="9" t="s">
        <v>31</v>
      </c>
      <c r="C66" s="13">
        <v>52835.858200000002</v>
      </c>
      <c r="D66" s="13">
        <v>2.9999999999999997E-4</v>
      </c>
      <c r="E66">
        <f t="shared" si="6"/>
        <v>4896.0141178286976</v>
      </c>
      <c r="F66">
        <f t="shared" si="7"/>
        <v>4896</v>
      </c>
      <c r="G66">
        <f t="shared" si="10"/>
        <v>7.7725000002828892E-2</v>
      </c>
      <c r="K66">
        <f t="shared" si="11"/>
        <v>7.7725000002828892E-2</v>
      </c>
      <c r="O66">
        <f t="shared" ca="1" si="8"/>
        <v>7.7645030187624905E-2</v>
      </c>
      <c r="Q66" s="1">
        <f t="shared" si="9"/>
        <v>37817.358200000002</v>
      </c>
    </row>
    <row r="67" spans="1:17" x14ac:dyDescent="0.2">
      <c r="A67" t="s">
        <v>30</v>
      </c>
      <c r="B67" s="9" t="s">
        <v>31</v>
      </c>
      <c r="C67" s="13">
        <v>52868.890720000003</v>
      </c>
      <c r="D67" s="13">
        <v>2.5000000000000001E-4</v>
      </c>
      <c r="E67">
        <f t="shared" si="6"/>
        <v>4902.0140851338228</v>
      </c>
      <c r="F67">
        <f t="shared" si="7"/>
        <v>4902</v>
      </c>
      <c r="G67">
        <f t="shared" si="10"/>
        <v>7.7545000000100117E-2</v>
      </c>
      <c r="K67">
        <f t="shared" si="11"/>
        <v>7.7545000000100117E-2</v>
      </c>
      <c r="O67">
        <f t="shared" ca="1" si="8"/>
        <v>7.7770542047209124E-2</v>
      </c>
      <c r="Q67" s="1">
        <f t="shared" si="9"/>
        <v>37850.390720000003</v>
      </c>
    </row>
    <row r="68" spans="1:17" x14ac:dyDescent="0.2">
      <c r="A68" s="51" t="s">
        <v>202</v>
      </c>
      <c r="B68" s="50" t="s">
        <v>31</v>
      </c>
      <c r="C68" s="51">
        <v>54366.379099999998</v>
      </c>
      <c r="D68" s="51" t="s">
        <v>56</v>
      </c>
      <c r="E68">
        <f t="shared" si="6"/>
        <v>5174.0151713302275</v>
      </c>
      <c r="F68">
        <f t="shared" si="7"/>
        <v>5174</v>
      </c>
      <c r="G68">
        <f t="shared" si="10"/>
        <v>8.3525000001827721E-2</v>
      </c>
      <c r="K68">
        <f t="shared" si="11"/>
        <v>8.3525000001827721E-2</v>
      </c>
      <c r="O68">
        <f t="shared" ca="1" si="8"/>
        <v>8.3460413015026866E-2</v>
      </c>
      <c r="Q68" s="1">
        <f t="shared" si="9"/>
        <v>39347.879099999998</v>
      </c>
    </row>
    <row r="69" spans="1:17" x14ac:dyDescent="0.2">
      <c r="A69" s="51" t="s">
        <v>208</v>
      </c>
      <c r="B69" s="50" t="s">
        <v>34</v>
      </c>
      <c r="C69" s="51">
        <v>54470.984799999998</v>
      </c>
      <c r="D69" s="51" t="s">
        <v>56</v>
      </c>
      <c r="E69">
        <f t="shared" si="6"/>
        <v>5193.0155618523459</v>
      </c>
      <c r="F69">
        <f t="shared" si="7"/>
        <v>5193</v>
      </c>
      <c r="G69">
        <f t="shared" si="10"/>
        <v>8.5675000002083834E-2</v>
      </c>
      <c r="K69">
        <f t="shared" si="11"/>
        <v>8.5675000002083834E-2</v>
      </c>
      <c r="O69">
        <f t="shared" ca="1" si="8"/>
        <v>8.3857867237043554E-2</v>
      </c>
      <c r="Q69" s="1">
        <f t="shared" si="9"/>
        <v>39452.484799999998</v>
      </c>
    </row>
    <row r="70" spans="1:17" x14ac:dyDescent="0.2">
      <c r="A70" s="15" t="s">
        <v>45</v>
      </c>
      <c r="B70" s="9"/>
      <c r="C70" s="13">
        <v>54729.740299999998</v>
      </c>
      <c r="D70" s="13">
        <v>2.9999999999999997E-4</v>
      </c>
      <c r="E70">
        <f t="shared" si="6"/>
        <v>5240.0154437875199</v>
      </c>
      <c r="F70">
        <f t="shared" si="7"/>
        <v>5240</v>
      </c>
      <c r="G70">
        <f t="shared" si="10"/>
        <v>8.5025000000314321E-2</v>
      </c>
      <c r="K70">
        <f t="shared" si="11"/>
        <v>8.5025000000314321E-2</v>
      </c>
      <c r="O70">
        <f t="shared" ca="1" si="8"/>
        <v>8.4841043470453237E-2</v>
      </c>
      <c r="Q70" s="1">
        <f t="shared" si="9"/>
        <v>39711.240299999998</v>
      </c>
    </row>
    <row r="71" spans="1:17" x14ac:dyDescent="0.2">
      <c r="A71" s="51" t="s">
        <v>220</v>
      </c>
      <c r="B71" s="50" t="s">
        <v>31</v>
      </c>
      <c r="C71" s="51">
        <v>55098.6057</v>
      </c>
      <c r="D71" s="51" t="s">
        <v>56</v>
      </c>
      <c r="E71">
        <f t="shared" si="6"/>
        <v>5307.0154891970687</v>
      </c>
      <c r="F71">
        <f t="shared" si="7"/>
        <v>5307</v>
      </c>
      <c r="G71">
        <f t="shared" si="10"/>
        <v>8.5275000004912727E-2</v>
      </c>
      <c r="K71">
        <f t="shared" si="11"/>
        <v>8.5275000004912727E-2</v>
      </c>
      <c r="O71">
        <f t="shared" ca="1" si="8"/>
        <v>8.6242592569143642E-2</v>
      </c>
      <c r="Q71" s="1">
        <f t="shared" si="9"/>
        <v>40080.1057</v>
      </c>
    </row>
    <row r="72" spans="1:17" x14ac:dyDescent="0.2">
      <c r="A72" s="53" t="s">
        <v>1</v>
      </c>
      <c r="B72" s="54" t="s">
        <v>31</v>
      </c>
      <c r="C72" s="55">
        <v>57328.323299999996</v>
      </c>
      <c r="D72" s="55">
        <v>5.4999999999999997E-3</v>
      </c>
      <c r="E72">
        <f>+(C72-C$7)/C$8</f>
        <v>5712.0173691523851</v>
      </c>
      <c r="F72">
        <f t="shared" si="7"/>
        <v>5712</v>
      </c>
      <c r="G72">
        <f>+C72-(C$7+F72*C$8)</f>
        <v>9.5624999994470272E-2</v>
      </c>
      <c r="K72">
        <f>+G72</f>
        <v>9.5624999994470272E-2</v>
      </c>
      <c r="O72">
        <f ca="1">+C$11+C$12*F72</f>
        <v>9.4714643091078146E-2</v>
      </c>
      <c r="Q72" s="1">
        <f>+C72-15018.5</f>
        <v>42309.823299999996</v>
      </c>
    </row>
    <row r="73" spans="1:17" x14ac:dyDescent="0.2">
      <c r="A73" s="56" t="s">
        <v>0</v>
      </c>
      <c r="B73" s="57" t="s">
        <v>31</v>
      </c>
      <c r="C73" s="58">
        <v>58005.494200000001</v>
      </c>
      <c r="D73" s="58">
        <v>1.1999999999999999E-3</v>
      </c>
      <c r="E73">
        <f>+(C73-C$7)/C$8</f>
        <v>5835.0174690533931</v>
      </c>
      <c r="F73">
        <f t="shared" si="7"/>
        <v>5835</v>
      </c>
      <c r="G73">
        <f>+C73-(C$7+F73*C$8)</f>
        <v>9.6174999998765998E-2</v>
      </c>
      <c r="K73">
        <f>+G73</f>
        <v>9.6174999998765998E-2</v>
      </c>
      <c r="O73">
        <f ca="1">+C$11+C$12*F73</f>
        <v>9.7287636212554554E-2</v>
      </c>
      <c r="Q73" s="1">
        <f>+C73-15018.5</f>
        <v>42986.994200000001</v>
      </c>
    </row>
    <row r="74" spans="1:17" x14ac:dyDescent="0.2">
      <c r="Q74" s="1"/>
    </row>
    <row r="75" spans="1:17" x14ac:dyDescent="0.2">
      <c r="Q75" s="1"/>
    </row>
    <row r="76" spans="1:17" x14ac:dyDescent="0.2">
      <c r="Q76" s="1"/>
    </row>
    <row r="77" spans="1:17" x14ac:dyDescent="0.2">
      <c r="Q77" s="1"/>
    </row>
    <row r="78" spans="1:17" x14ac:dyDescent="0.2">
      <c r="Q78" s="1"/>
    </row>
    <row r="79" spans="1:17" x14ac:dyDescent="0.2">
      <c r="Q79" s="1"/>
    </row>
    <row r="80" spans="1:17" x14ac:dyDescent="0.2">
      <c r="Q80" s="1"/>
    </row>
    <row r="81" spans="17:17" x14ac:dyDescent="0.2">
      <c r="Q81" s="1"/>
    </row>
    <row r="82" spans="17:17" x14ac:dyDescent="0.2">
      <c r="Q82" s="1"/>
    </row>
    <row r="83" spans="17:17" x14ac:dyDescent="0.2">
      <c r="Q83" s="1"/>
    </row>
    <row r="84" spans="17:17" x14ac:dyDescent="0.2">
      <c r="Q84" s="1"/>
    </row>
    <row r="85" spans="17:17" x14ac:dyDescent="0.2">
      <c r="Q85" s="1"/>
    </row>
    <row r="86" spans="17:17" x14ac:dyDescent="0.2">
      <c r="Q86" s="1"/>
    </row>
    <row r="87" spans="17:17" x14ac:dyDescent="0.2">
      <c r="Q87" s="1"/>
    </row>
    <row r="88" spans="17:17" x14ac:dyDescent="0.2">
      <c r="Q88" s="1"/>
    </row>
    <row r="89" spans="17:17" x14ac:dyDescent="0.2">
      <c r="Q89" s="1"/>
    </row>
    <row r="90" spans="17:17" x14ac:dyDescent="0.2">
      <c r="Q90" s="1"/>
    </row>
    <row r="91" spans="17:17" x14ac:dyDescent="0.2">
      <c r="Q91" s="1"/>
    </row>
    <row r="92" spans="17:17" x14ac:dyDescent="0.2">
      <c r="Q92" s="1"/>
    </row>
    <row r="93" spans="17:17" x14ac:dyDescent="0.2">
      <c r="Q93" s="1"/>
    </row>
    <row r="94" spans="17:17" x14ac:dyDescent="0.2">
      <c r="Q94" s="1"/>
    </row>
    <row r="95" spans="17:17" x14ac:dyDescent="0.2">
      <c r="Q95" s="1"/>
    </row>
    <row r="96" spans="17:17" x14ac:dyDescent="0.2">
      <c r="Q96" s="1"/>
    </row>
    <row r="97" spans="17:17" x14ac:dyDescent="0.2">
      <c r="Q97" s="1"/>
    </row>
    <row r="98" spans="17:17" x14ac:dyDescent="0.2">
      <c r="Q98" s="1"/>
    </row>
    <row r="99" spans="17:17" x14ac:dyDescent="0.2">
      <c r="Q99" s="1"/>
    </row>
    <row r="100" spans="17:17" x14ac:dyDescent="0.2">
      <c r="Q100" s="1"/>
    </row>
    <row r="101" spans="17:17" x14ac:dyDescent="0.2">
      <c r="Q101" s="1"/>
    </row>
    <row r="102" spans="17:17" x14ac:dyDescent="0.2">
      <c r="Q102" s="1"/>
    </row>
    <row r="103" spans="17:17" x14ac:dyDescent="0.2">
      <c r="Q103" s="1"/>
    </row>
    <row r="104" spans="17:17" x14ac:dyDescent="0.2">
      <c r="Q104" s="1"/>
    </row>
    <row r="105" spans="17:17" x14ac:dyDescent="0.2">
      <c r="Q105" s="1"/>
    </row>
    <row r="106" spans="17:17" x14ac:dyDescent="0.2">
      <c r="Q106" s="1"/>
    </row>
    <row r="107" spans="17:17" x14ac:dyDescent="0.2">
      <c r="Q107" s="1"/>
    </row>
    <row r="108" spans="17:17" x14ac:dyDescent="0.2">
      <c r="Q108" s="1"/>
    </row>
    <row r="109" spans="17:17" x14ac:dyDescent="0.2">
      <c r="Q109" s="1"/>
    </row>
    <row r="110" spans="17:17" x14ac:dyDescent="0.2">
      <c r="Q110" s="1"/>
    </row>
    <row r="111" spans="17:17" x14ac:dyDescent="0.2">
      <c r="Q111" s="1"/>
    </row>
    <row r="112" spans="17:17" x14ac:dyDescent="0.2">
      <c r="Q112" s="1"/>
    </row>
    <row r="113" spans="17:17" x14ac:dyDescent="0.2">
      <c r="Q113" s="1"/>
    </row>
    <row r="114" spans="17:17" x14ac:dyDescent="0.2">
      <c r="Q114" s="1"/>
    </row>
    <row r="115" spans="17:17" x14ac:dyDescent="0.2">
      <c r="Q115" s="1"/>
    </row>
    <row r="116" spans="17:17" x14ac:dyDescent="0.2">
      <c r="Q116" s="1"/>
    </row>
    <row r="117" spans="17:17" x14ac:dyDescent="0.2">
      <c r="Q117" s="1"/>
    </row>
    <row r="118" spans="17:17" x14ac:dyDescent="0.2">
      <c r="Q118" s="1"/>
    </row>
    <row r="119" spans="17:17" x14ac:dyDescent="0.2">
      <c r="Q119" s="1"/>
    </row>
    <row r="120" spans="17:17" x14ac:dyDescent="0.2">
      <c r="Q120" s="1"/>
    </row>
    <row r="121" spans="17:17" x14ac:dyDescent="0.2">
      <c r="Q121" s="1"/>
    </row>
    <row r="122" spans="17:17" x14ac:dyDescent="0.2">
      <c r="Q122" s="1"/>
    </row>
    <row r="123" spans="17:17" x14ac:dyDescent="0.2">
      <c r="Q123" s="1"/>
    </row>
    <row r="124" spans="17:17" x14ac:dyDescent="0.2">
      <c r="Q124" s="1"/>
    </row>
    <row r="125" spans="17:17" x14ac:dyDescent="0.2">
      <c r="Q125" s="1"/>
    </row>
    <row r="126" spans="17:17" x14ac:dyDescent="0.2">
      <c r="Q126" s="1"/>
    </row>
    <row r="127" spans="17:17" x14ac:dyDescent="0.2">
      <c r="Q127" s="1"/>
    </row>
    <row r="128" spans="17:17" x14ac:dyDescent="0.2">
      <c r="Q128" s="1"/>
    </row>
    <row r="129" spans="17:17" x14ac:dyDescent="0.2">
      <c r="Q129" s="1"/>
    </row>
    <row r="130" spans="17:17" x14ac:dyDescent="0.2">
      <c r="Q130" s="1"/>
    </row>
    <row r="131" spans="17:17" x14ac:dyDescent="0.2">
      <c r="Q131" s="1"/>
    </row>
    <row r="132" spans="17:17" x14ac:dyDescent="0.2">
      <c r="Q132" s="1"/>
    </row>
    <row r="133" spans="17:17" x14ac:dyDescent="0.2">
      <c r="Q133" s="1"/>
    </row>
    <row r="134" spans="17:17" x14ac:dyDescent="0.2">
      <c r="Q134" s="1"/>
    </row>
    <row r="135" spans="17:17" x14ac:dyDescent="0.2">
      <c r="Q135" s="1"/>
    </row>
    <row r="136" spans="17:17" x14ac:dyDescent="0.2">
      <c r="Q136" s="1"/>
    </row>
    <row r="137" spans="17:17" x14ac:dyDescent="0.2">
      <c r="Q137" s="1"/>
    </row>
    <row r="138" spans="17:17" x14ac:dyDescent="0.2">
      <c r="Q138" s="1"/>
    </row>
    <row r="139" spans="17:17" x14ac:dyDescent="0.2">
      <c r="Q139" s="1"/>
    </row>
    <row r="140" spans="17:17" x14ac:dyDescent="0.2">
      <c r="Q140" s="1"/>
    </row>
    <row r="141" spans="17:17" x14ac:dyDescent="0.2">
      <c r="Q141" s="1"/>
    </row>
    <row r="142" spans="17:17" x14ac:dyDescent="0.2">
      <c r="Q142" s="1"/>
    </row>
    <row r="143" spans="17:17" x14ac:dyDescent="0.2">
      <c r="Q143" s="1"/>
    </row>
    <row r="144" spans="17:17" x14ac:dyDescent="0.2">
      <c r="Q144" s="1"/>
    </row>
    <row r="145" spans="17:17" x14ac:dyDescent="0.2">
      <c r="Q145" s="1"/>
    </row>
    <row r="146" spans="17:17" x14ac:dyDescent="0.2">
      <c r="Q146" s="1"/>
    </row>
    <row r="147" spans="17:17" x14ac:dyDescent="0.2">
      <c r="Q147" s="1"/>
    </row>
    <row r="148" spans="17:17" x14ac:dyDescent="0.2">
      <c r="Q148" s="1"/>
    </row>
    <row r="149" spans="17:17" x14ac:dyDescent="0.2">
      <c r="Q149" s="1"/>
    </row>
    <row r="150" spans="17:17" x14ac:dyDescent="0.2">
      <c r="Q150" s="1"/>
    </row>
    <row r="151" spans="17:17" x14ac:dyDescent="0.2">
      <c r="Q151" s="1"/>
    </row>
    <row r="152" spans="17:17" x14ac:dyDescent="0.2">
      <c r="Q152" s="1"/>
    </row>
    <row r="153" spans="17:17" x14ac:dyDescent="0.2">
      <c r="Q153" s="1"/>
    </row>
    <row r="154" spans="17:17" x14ac:dyDescent="0.2">
      <c r="Q154" s="1"/>
    </row>
    <row r="155" spans="17:17" x14ac:dyDescent="0.2">
      <c r="Q155" s="1"/>
    </row>
    <row r="156" spans="17:17" x14ac:dyDescent="0.2">
      <c r="Q156" s="1"/>
    </row>
    <row r="157" spans="17:17" x14ac:dyDescent="0.2">
      <c r="Q157" s="1"/>
    </row>
    <row r="158" spans="17:17" x14ac:dyDescent="0.2">
      <c r="Q158" s="1"/>
    </row>
    <row r="159" spans="17:17" x14ac:dyDescent="0.2">
      <c r="Q159" s="1"/>
    </row>
    <row r="160" spans="17:17" x14ac:dyDescent="0.2">
      <c r="Q160" s="1"/>
    </row>
    <row r="161" spans="17:17" x14ac:dyDescent="0.2">
      <c r="Q161" s="1"/>
    </row>
    <row r="162" spans="17:17" x14ac:dyDescent="0.2">
      <c r="Q162" s="1"/>
    </row>
    <row r="163" spans="17:17" x14ac:dyDescent="0.2">
      <c r="Q163" s="1"/>
    </row>
    <row r="164" spans="17:17" x14ac:dyDescent="0.2">
      <c r="Q164" s="1"/>
    </row>
    <row r="165" spans="17:17" x14ac:dyDescent="0.2">
      <c r="Q165" s="1"/>
    </row>
    <row r="166" spans="17:17" x14ac:dyDescent="0.2">
      <c r="Q166" s="1"/>
    </row>
    <row r="167" spans="17:17" x14ac:dyDescent="0.2">
      <c r="Q167" s="1"/>
    </row>
    <row r="168" spans="17:17" x14ac:dyDescent="0.2">
      <c r="Q168" s="1"/>
    </row>
    <row r="169" spans="17:17" x14ac:dyDescent="0.2">
      <c r="Q169" s="1"/>
    </row>
    <row r="170" spans="17:17" x14ac:dyDescent="0.2">
      <c r="Q170" s="1"/>
    </row>
    <row r="171" spans="17:17" x14ac:dyDescent="0.2">
      <c r="Q171" s="1"/>
    </row>
    <row r="172" spans="17:17" x14ac:dyDescent="0.2">
      <c r="Q172" s="1"/>
    </row>
    <row r="173" spans="17:17" x14ac:dyDescent="0.2">
      <c r="Q173" s="1"/>
    </row>
    <row r="174" spans="17:17" x14ac:dyDescent="0.2">
      <c r="Q174" s="1"/>
    </row>
    <row r="175" spans="17:17" x14ac:dyDescent="0.2">
      <c r="Q175" s="1"/>
    </row>
    <row r="176" spans="17:17" x14ac:dyDescent="0.2">
      <c r="Q176" s="1"/>
    </row>
    <row r="177" spans="17:17" x14ac:dyDescent="0.2">
      <c r="Q177" s="1"/>
    </row>
    <row r="178" spans="17:17" x14ac:dyDescent="0.2">
      <c r="Q178" s="1"/>
    </row>
    <row r="179" spans="17:17" x14ac:dyDescent="0.2">
      <c r="Q179" s="1"/>
    </row>
    <row r="180" spans="17:17" x14ac:dyDescent="0.2">
      <c r="Q180" s="1"/>
    </row>
    <row r="181" spans="17:17" x14ac:dyDescent="0.2">
      <c r="Q181" s="1"/>
    </row>
    <row r="182" spans="17:17" x14ac:dyDescent="0.2">
      <c r="Q182" s="1"/>
    </row>
    <row r="183" spans="17:17" x14ac:dyDescent="0.2">
      <c r="Q183" s="1"/>
    </row>
    <row r="184" spans="17:17" x14ac:dyDescent="0.2">
      <c r="Q184" s="1"/>
    </row>
    <row r="185" spans="17:17" x14ac:dyDescent="0.2">
      <c r="Q185" s="1"/>
    </row>
    <row r="186" spans="17:17" x14ac:dyDescent="0.2">
      <c r="Q186" s="1"/>
    </row>
    <row r="187" spans="17:17" x14ac:dyDescent="0.2">
      <c r="Q187" s="1"/>
    </row>
    <row r="188" spans="17:17" x14ac:dyDescent="0.2">
      <c r="Q188" s="1"/>
    </row>
    <row r="189" spans="17:17" x14ac:dyDescent="0.2">
      <c r="Q189" s="1"/>
    </row>
    <row r="190" spans="17:17" x14ac:dyDescent="0.2">
      <c r="Q190" s="1"/>
    </row>
    <row r="191" spans="17:17" x14ac:dyDescent="0.2">
      <c r="Q191" s="1"/>
    </row>
    <row r="192" spans="17:17" x14ac:dyDescent="0.2">
      <c r="Q192" s="1"/>
    </row>
    <row r="193" spans="17:17" x14ac:dyDescent="0.2">
      <c r="Q193" s="1"/>
    </row>
    <row r="194" spans="17:17" x14ac:dyDescent="0.2">
      <c r="Q194" s="1"/>
    </row>
    <row r="195" spans="17:17" x14ac:dyDescent="0.2">
      <c r="Q195" s="1"/>
    </row>
    <row r="196" spans="17:17" x14ac:dyDescent="0.2">
      <c r="Q196" s="1"/>
    </row>
    <row r="197" spans="17:17" x14ac:dyDescent="0.2">
      <c r="Q197" s="1"/>
    </row>
    <row r="198" spans="17:17" x14ac:dyDescent="0.2">
      <c r="Q198" s="1"/>
    </row>
    <row r="199" spans="17:17" x14ac:dyDescent="0.2">
      <c r="Q199" s="1"/>
    </row>
    <row r="200" spans="17:17" x14ac:dyDescent="0.2">
      <c r="Q200" s="1"/>
    </row>
    <row r="201" spans="17:17" x14ac:dyDescent="0.2">
      <c r="Q201" s="1"/>
    </row>
    <row r="202" spans="17:17" x14ac:dyDescent="0.2">
      <c r="Q202" s="1"/>
    </row>
    <row r="203" spans="17:17" x14ac:dyDescent="0.2">
      <c r="Q203" s="1"/>
    </row>
    <row r="204" spans="17:17" x14ac:dyDescent="0.2">
      <c r="Q204" s="1"/>
    </row>
    <row r="205" spans="17:17" x14ac:dyDescent="0.2">
      <c r="Q205" s="1"/>
    </row>
    <row r="206" spans="17:17" x14ac:dyDescent="0.2">
      <c r="Q206" s="1"/>
    </row>
    <row r="207" spans="17:17" x14ac:dyDescent="0.2">
      <c r="Q207" s="1"/>
    </row>
    <row r="208" spans="17:17" x14ac:dyDescent="0.2">
      <c r="Q208" s="1"/>
    </row>
    <row r="209" spans="17:17" x14ac:dyDescent="0.2">
      <c r="Q209" s="1"/>
    </row>
    <row r="210" spans="17:17" x14ac:dyDescent="0.2">
      <c r="Q210" s="1"/>
    </row>
    <row r="211" spans="17:17" x14ac:dyDescent="0.2">
      <c r="Q211" s="1"/>
    </row>
    <row r="212" spans="17:17" x14ac:dyDescent="0.2">
      <c r="Q212" s="1"/>
    </row>
    <row r="213" spans="17:17" x14ac:dyDescent="0.2">
      <c r="Q213" s="1"/>
    </row>
  </sheetData>
  <phoneticPr fontId="7" type="noConversion"/>
  <hyperlinks>
    <hyperlink ref="H2282" r:id="rId1" display="http://vsolj.cetus-net.org/bulletin.html"/>
    <hyperlink ref="H64618" r:id="rId2" display="http://vsolj.cetus-net.org/bulletin.html"/>
    <hyperlink ref="H64611" r:id="rId3" display="https://www.aavso.org/ejaavso"/>
    <hyperlink ref="AP1469" r:id="rId4" display="http://cdsbib.u-strasbg.fr/cgi-bin/cdsbib?1990RMxAA..21..381G"/>
    <hyperlink ref="AP1466" r:id="rId5" display="http://cdsbib.u-strasbg.fr/cgi-bin/cdsbib?1990RMxAA..21..381G"/>
    <hyperlink ref="AP1468" r:id="rId6" display="http://cdsbib.u-strasbg.fr/cgi-bin/cdsbib?1990RMxAA..21..381G"/>
    <hyperlink ref="AP1444" r:id="rId7" display="http://cdsbib.u-strasbg.fr/cgi-bin/cdsbib?1990RMxAA..21..381G"/>
    <hyperlink ref="I64618" r:id="rId8" display="http://vsolj.cetus-net.org/bulletin.html"/>
    <hyperlink ref="AQ1605" r:id="rId9" display="http://cdsbib.u-strasbg.fr/cgi-bin/cdsbib?1990RMxAA..21..381G"/>
    <hyperlink ref="AQ3249" r:id="rId10" display="http://cdsbib.u-strasbg.fr/cgi-bin/cdsbib?1990RMxAA..21..381G"/>
    <hyperlink ref="AQ1606" r:id="rId11" display="http://cdsbib.u-strasbg.fr/cgi-bin/cdsbib?1990RMxAA..21..381G"/>
    <hyperlink ref="H64615" r:id="rId12" display="https://www.aavso.org/ejaavso"/>
    <hyperlink ref="H2456" r:id="rId13" display="http://vsolj.cetus-net.org/bulletin.html"/>
    <hyperlink ref="AP5694" r:id="rId14" display="http://cdsbib.u-strasbg.fr/cgi-bin/cdsbib?1990RMxAA..21..381G"/>
    <hyperlink ref="AP5697" r:id="rId15" display="http://cdsbib.u-strasbg.fr/cgi-bin/cdsbib?1990RMxAA..21..381G"/>
    <hyperlink ref="AP5695" r:id="rId16" display="http://cdsbib.u-strasbg.fr/cgi-bin/cdsbib?1990RMxAA..21..381G"/>
    <hyperlink ref="AP5673" r:id="rId17" display="http://cdsbib.u-strasbg.fr/cgi-bin/cdsbib?1990RMxAA..21..381G"/>
    <hyperlink ref="I2456" r:id="rId18" display="http://vsolj.cetus-net.org/bulletin.html"/>
    <hyperlink ref="AQ5807" r:id="rId19" display="http://cdsbib.u-strasbg.fr/cgi-bin/cdsbib?1990RMxAA..21..381G"/>
    <hyperlink ref="AQ359" r:id="rId20" display="http://cdsbib.u-strasbg.fr/cgi-bin/cdsbib?1990RMxAA..21..381G"/>
    <hyperlink ref="AQ580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17" workbookViewId="0">
      <selection activeCell="A18" sqref="A18:D58"/>
    </sheetView>
  </sheetViews>
  <sheetFormatPr defaultRowHeight="12.75" x14ac:dyDescent="0.2"/>
  <cols>
    <col min="1" max="1" width="19.7109375" style="12" customWidth="1"/>
    <col min="2" max="2" width="4.42578125" style="17" customWidth="1"/>
    <col min="3" max="3" width="12.7109375" style="12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2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3" t="s">
        <v>46</v>
      </c>
      <c r="I1" s="34" t="s">
        <v>47</v>
      </c>
      <c r="J1" s="35" t="s">
        <v>48</v>
      </c>
    </row>
    <row r="2" spans="1:16" x14ac:dyDescent="0.2">
      <c r="I2" s="36" t="s">
        <v>49</v>
      </c>
      <c r="J2" s="37" t="s">
        <v>50</v>
      </c>
    </row>
    <row r="3" spans="1:16" x14ac:dyDescent="0.2">
      <c r="A3" s="38" t="s">
        <v>51</v>
      </c>
      <c r="I3" s="36" t="s">
        <v>52</v>
      </c>
      <c r="J3" s="37" t="s">
        <v>53</v>
      </c>
    </row>
    <row r="4" spans="1:16" x14ac:dyDescent="0.2">
      <c r="I4" s="36" t="s">
        <v>54</v>
      </c>
      <c r="J4" s="37" t="s">
        <v>53</v>
      </c>
    </row>
    <row r="5" spans="1:16" ht="13.5" thickBot="1" x14ac:dyDescent="0.25">
      <c r="I5" s="39" t="s">
        <v>55</v>
      </c>
      <c r="J5" s="40" t="s">
        <v>56</v>
      </c>
    </row>
    <row r="10" spans="1:16" ht="13.5" thickBot="1" x14ac:dyDescent="0.25"/>
    <row r="11" spans="1:16" ht="12.75" customHeight="1" thickBot="1" x14ac:dyDescent="0.25">
      <c r="A11" s="12" t="str">
        <f t="shared" ref="A11:A58" si="0">P11</f>
        <v> VB 5.15 </v>
      </c>
      <c r="B11" s="4" t="str">
        <f t="shared" ref="B11:B58" si="1">IF(H11=INT(H11),"I","II")</f>
        <v>I</v>
      </c>
      <c r="C11" s="12">
        <f t="shared" ref="C11:C58" si="2">1*G11</f>
        <v>25883.85</v>
      </c>
      <c r="D11" s="17" t="str">
        <f t="shared" ref="D11:D58" si="3">VLOOKUP(F11,I$1:J$5,2,FALSE)</f>
        <v>vis</v>
      </c>
      <c r="E11" s="41">
        <f>VLOOKUP(C11,A!C$21:E$972,3,FALSE)</f>
        <v>0.49999999999972089</v>
      </c>
      <c r="F11" s="4" t="s">
        <v>55</v>
      </c>
      <c r="G11" s="17" t="str">
        <f t="shared" ref="G11:G58" si="4">MID(I11,3,LEN(I11)-3)</f>
        <v>25883.850</v>
      </c>
      <c r="H11" s="12">
        <f t="shared" ref="H11:H58" si="5">1*K11</f>
        <v>0</v>
      </c>
      <c r="I11" s="42" t="s">
        <v>63</v>
      </c>
      <c r="J11" s="43" t="s">
        <v>64</v>
      </c>
      <c r="K11" s="42">
        <v>0</v>
      </c>
      <c r="L11" s="42" t="s">
        <v>65</v>
      </c>
      <c r="M11" s="43" t="s">
        <v>60</v>
      </c>
      <c r="N11" s="43"/>
      <c r="O11" s="44" t="s">
        <v>61</v>
      </c>
      <c r="P11" s="44" t="s">
        <v>62</v>
      </c>
    </row>
    <row r="12" spans="1:16" ht="12.75" customHeight="1" thickBot="1" x14ac:dyDescent="0.25">
      <c r="A12" s="12" t="str">
        <f t="shared" si="0"/>
        <v>IBVS 5251 </v>
      </c>
      <c r="B12" s="4" t="str">
        <f t="shared" si="1"/>
        <v>II</v>
      </c>
      <c r="C12" s="12">
        <f t="shared" si="2"/>
        <v>52078.856399999997</v>
      </c>
      <c r="D12" s="17" t="str">
        <f t="shared" si="3"/>
        <v>vis</v>
      </c>
      <c r="E12" s="41">
        <f>VLOOKUP(C12,A!C$21:E$972,3,FALSE)</f>
        <v>4758.5136773560744</v>
      </c>
      <c r="F12" s="4" t="s">
        <v>55</v>
      </c>
      <c r="G12" s="17" t="str">
        <f t="shared" si="4"/>
        <v>52078.8564</v>
      </c>
      <c r="H12" s="12">
        <f t="shared" si="5"/>
        <v>2354.5</v>
      </c>
      <c r="I12" s="42" t="s">
        <v>172</v>
      </c>
      <c r="J12" s="43" t="s">
        <v>173</v>
      </c>
      <c r="K12" s="42">
        <v>2354.5</v>
      </c>
      <c r="L12" s="42" t="s">
        <v>174</v>
      </c>
      <c r="M12" s="43" t="s">
        <v>175</v>
      </c>
      <c r="N12" s="43" t="s">
        <v>176</v>
      </c>
      <c r="O12" s="44" t="s">
        <v>177</v>
      </c>
      <c r="P12" s="45" t="s">
        <v>178</v>
      </c>
    </row>
    <row r="13" spans="1:16" ht="12.75" customHeight="1" thickBot="1" x14ac:dyDescent="0.25">
      <c r="A13" s="12" t="str">
        <f t="shared" si="0"/>
        <v>IBVS 5251 </v>
      </c>
      <c r="B13" s="4" t="str">
        <f t="shared" si="1"/>
        <v>II</v>
      </c>
      <c r="C13" s="12">
        <f t="shared" si="2"/>
        <v>52100.876300000004</v>
      </c>
      <c r="D13" s="17" t="str">
        <f t="shared" si="3"/>
        <v>vis</v>
      </c>
      <c r="E13" s="41">
        <f>VLOOKUP(C13,A!C$21:E$972,3,FALSE)</f>
        <v>4762.5133322435049</v>
      </c>
      <c r="F13" s="4" t="s">
        <v>55</v>
      </c>
      <c r="G13" s="17" t="str">
        <f t="shared" si="4"/>
        <v>52100.8763</v>
      </c>
      <c r="H13" s="12">
        <f t="shared" si="5"/>
        <v>2356.5</v>
      </c>
      <c r="I13" s="42" t="s">
        <v>179</v>
      </c>
      <c r="J13" s="43" t="s">
        <v>180</v>
      </c>
      <c r="K13" s="42">
        <v>2356.5</v>
      </c>
      <c r="L13" s="42" t="s">
        <v>181</v>
      </c>
      <c r="M13" s="43" t="s">
        <v>175</v>
      </c>
      <c r="N13" s="43" t="s">
        <v>176</v>
      </c>
      <c r="O13" s="44" t="s">
        <v>177</v>
      </c>
      <c r="P13" s="45" t="s">
        <v>178</v>
      </c>
    </row>
    <row r="14" spans="1:16" ht="12.75" customHeight="1" thickBot="1" x14ac:dyDescent="0.25">
      <c r="A14" s="12" t="str">
        <f t="shared" si="0"/>
        <v>IBVS 5251 </v>
      </c>
      <c r="B14" s="4" t="str">
        <f t="shared" si="1"/>
        <v>II</v>
      </c>
      <c r="C14" s="12">
        <f t="shared" si="2"/>
        <v>52111.888599999998</v>
      </c>
      <c r="D14" s="17" t="str">
        <f t="shared" si="3"/>
        <v>vis</v>
      </c>
      <c r="E14" s="41">
        <f>VLOOKUP(C14,A!C$21:E$972,3,FALSE)</f>
        <v>4764.5135865369766</v>
      </c>
      <c r="F14" s="4" t="s">
        <v>55</v>
      </c>
      <c r="G14" s="17" t="str">
        <f t="shared" si="4"/>
        <v>52111.8886</v>
      </c>
      <c r="H14" s="12">
        <f t="shared" si="5"/>
        <v>2357.5</v>
      </c>
      <c r="I14" s="42" t="s">
        <v>182</v>
      </c>
      <c r="J14" s="43" t="s">
        <v>183</v>
      </c>
      <c r="K14" s="42">
        <v>2357.5</v>
      </c>
      <c r="L14" s="42" t="s">
        <v>184</v>
      </c>
      <c r="M14" s="43" t="s">
        <v>175</v>
      </c>
      <c r="N14" s="43" t="s">
        <v>176</v>
      </c>
      <c r="O14" s="44" t="s">
        <v>177</v>
      </c>
      <c r="P14" s="45" t="s">
        <v>178</v>
      </c>
    </row>
    <row r="15" spans="1:16" ht="12.75" customHeight="1" thickBot="1" x14ac:dyDescent="0.25">
      <c r="A15" s="12" t="str">
        <f t="shared" si="0"/>
        <v>IBVS 5251 </v>
      </c>
      <c r="B15" s="4" t="str">
        <f t="shared" si="1"/>
        <v>II</v>
      </c>
      <c r="C15" s="12">
        <f t="shared" si="2"/>
        <v>52180.707399999999</v>
      </c>
      <c r="D15" s="17" t="str">
        <f t="shared" si="3"/>
        <v>vis</v>
      </c>
      <c r="E15" s="41">
        <f>VLOOKUP(C15,A!C$21:E$972,3,FALSE)</f>
        <v>4777.0137091427587</v>
      </c>
      <c r="F15" s="4" t="s">
        <v>55</v>
      </c>
      <c r="G15" s="17" t="str">
        <f t="shared" si="4"/>
        <v>52180.7074</v>
      </c>
      <c r="H15" s="12">
        <f t="shared" si="5"/>
        <v>2363.5</v>
      </c>
      <c r="I15" s="42" t="s">
        <v>185</v>
      </c>
      <c r="J15" s="43" t="s">
        <v>186</v>
      </c>
      <c r="K15" s="42">
        <v>2363.5</v>
      </c>
      <c r="L15" s="42" t="s">
        <v>187</v>
      </c>
      <c r="M15" s="43" t="s">
        <v>175</v>
      </c>
      <c r="N15" s="43" t="s">
        <v>176</v>
      </c>
      <c r="O15" s="44" t="s">
        <v>177</v>
      </c>
      <c r="P15" s="45" t="s">
        <v>178</v>
      </c>
    </row>
    <row r="16" spans="1:16" ht="12.75" customHeight="1" thickBot="1" x14ac:dyDescent="0.25">
      <c r="A16" s="12" t="str">
        <f t="shared" si="0"/>
        <v>IBVS 5357 </v>
      </c>
      <c r="B16" s="4" t="str">
        <f t="shared" si="1"/>
        <v>II</v>
      </c>
      <c r="C16" s="12">
        <f t="shared" si="2"/>
        <v>52282.558599999997</v>
      </c>
      <c r="D16" s="17" t="str">
        <f t="shared" si="3"/>
        <v>vis</v>
      </c>
      <c r="E16" s="41">
        <f>VLOOKUP(C16,A!C$21:E$972,3,FALSE)</f>
        <v>4795.5137772570815</v>
      </c>
      <c r="F16" s="4" t="s">
        <v>55</v>
      </c>
      <c r="G16" s="17" t="str">
        <f t="shared" si="4"/>
        <v>52282.5586</v>
      </c>
      <c r="H16" s="12">
        <f t="shared" si="5"/>
        <v>2372.5</v>
      </c>
      <c r="I16" s="42" t="s">
        <v>188</v>
      </c>
      <c r="J16" s="43" t="s">
        <v>189</v>
      </c>
      <c r="K16" s="42">
        <v>2372.5</v>
      </c>
      <c r="L16" s="42" t="s">
        <v>190</v>
      </c>
      <c r="M16" s="43" t="s">
        <v>175</v>
      </c>
      <c r="N16" s="43" t="s">
        <v>176</v>
      </c>
      <c r="O16" s="44" t="s">
        <v>191</v>
      </c>
      <c r="P16" s="45" t="s">
        <v>192</v>
      </c>
    </row>
    <row r="17" spans="1:16" ht="12.75" customHeight="1" thickBot="1" x14ac:dyDescent="0.25">
      <c r="A17" s="12" t="str">
        <f t="shared" si="0"/>
        <v>IBVS 5875 </v>
      </c>
      <c r="B17" s="4" t="str">
        <f t="shared" si="1"/>
        <v>I</v>
      </c>
      <c r="C17" s="12">
        <f t="shared" si="2"/>
        <v>54729.740299999998</v>
      </c>
      <c r="D17" s="17" t="str">
        <f t="shared" si="3"/>
        <v>vis</v>
      </c>
      <c r="E17" s="41">
        <f>VLOOKUP(C17,A!C$21:E$972,3,FALSE)</f>
        <v>5240.0154437875199</v>
      </c>
      <c r="F17" s="4" t="s">
        <v>55</v>
      </c>
      <c r="G17" s="17" t="str">
        <f t="shared" si="4"/>
        <v>54729.7403</v>
      </c>
      <c r="H17" s="12">
        <f t="shared" si="5"/>
        <v>2593</v>
      </c>
      <c r="I17" s="42" t="s">
        <v>209</v>
      </c>
      <c r="J17" s="43" t="s">
        <v>210</v>
      </c>
      <c r="K17" s="42" t="s">
        <v>211</v>
      </c>
      <c r="L17" s="42" t="s">
        <v>212</v>
      </c>
      <c r="M17" s="43" t="s">
        <v>199</v>
      </c>
      <c r="N17" s="43" t="s">
        <v>213</v>
      </c>
      <c r="O17" s="44" t="s">
        <v>214</v>
      </c>
      <c r="P17" s="45" t="s">
        <v>215</v>
      </c>
    </row>
    <row r="18" spans="1:16" ht="12.75" customHeight="1" thickBot="1" x14ac:dyDescent="0.25">
      <c r="A18" s="12" t="str">
        <f t="shared" si="0"/>
        <v> VB 5.15 </v>
      </c>
      <c r="B18" s="4" t="str">
        <f t="shared" si="1"/>
        <v>I</v>
      </c>
      <c r="C18" s="12">
        <f t="shared" si="2"/>
        <v>25850.368999999999</v>
      </c>
      <c r="D18" s="17" t="str">
        <f t="shared" si="3"/>
        <v>vis</v>
      </c>
      <c r="E18" s="41">
        <f>VLOOKUP(C18,A!C$21:E$972,3,FALSE)</f>
        <v>-5.5814284027647707</v>
      </c>
      <c r="F18" s="4" t="s">
        <v>55</v>
      </c>
      <c r="G18" s="17" t="str">
        <f t="shared" si="4"/>
        <v>25850.369</v>
      </c>
      <c r="H18" s="12">
        <f t="shared" si="5"/>
        <v>-3</v>
      </c>
      <c r="I18" s="42" t="s">
        <v>57</v>
      </c>
      <c r="J18" s="43" t="s">
        <v>58</v>
      </c>
      <c r="K18" s="42">
        <v>-3</v>
      </c>
      <c r="L18" s="42" t="s">
        <v>59</v>
      </c>
      <c r="M18" s="43" t="s">
        <v>60</v>
      </c>
      <c r="N18" s="43"/>
      <c r="O18" s="44" t="s">
        <v>61</v>
      </c>
      <c r="P18" s="44" t="s">
        <v>62</v>
      </c>
    </row>
    <row r="19" spans="1:16" ht="12.75" customHeight="1" thickBot="1" x14ac:dyDescent="0.25">
      <c r="A19" s="12" t="str">
        <f t="shared" si="0"/>
        <v> VB 5.15 </v>
      </c>
      <c r="B19" s="4" t="str">
        <f t="shared" si="1"/>
        <v>II</v>
      </c>
      <c r="C19" s="12">
        <f t="shared" si="2"/>
        <v>25889.413</v>
      </c>
      <c r="D19" s="17" t="str">
        <f t="shared" si="3"/>
        <v>vis</v>
      </c>
      <c r="E19" s="41">
        <f>VLOOKUP(C19,A!C$21:E$972,3,FALSE)</f>
        <v>1.5104532781153919</v>
      </c>
      <c r="F19" s="4" t="s">
        <v>55</v>
      </c>
      <c r="G19" s="17" t="str">
        <f t="shared" si="4"/>
        <v>25889.413</v>
      </c>
      <c r="H19" s="12">
        <f t="shared" si="5"/>
        <v>0.5</v>
      </c>
      <c r="I19" s="42" t="s">
        <v>66</v>
      </c>
      <c r="J19" s="43" t="s">
        <v>67</v>
      </c>
      <c r="K19" s="42">
        <v>0.5</v>
      </c>
      <c r="L19" s="42" t="s">
        <v>65</v>
      </c>
      <c r="M19" s="43" t="s">
        <v>60</v>
      </c>
      <c r="N19" s="43"/>
      <c r="O19" s="44" t="s">
        <v>61</v>
      </c>
      <c r="P19" s="44" t="s">
        <v>62</v>
      </c>
    </row>
    <row r="20" spans="1:16" ht="12.75" customHeight="1" thickBot="1" x14ac:dyDescent="0.25">
      <c r="A20" s="12" t="str">
        <f t="shared" si="0"/>
        <v> VB 5.15 </v>
      </c>
      <c r="B20" s="4" t="str">
        <f t="shared" si="1"/>
        <v>I</v>
      </c>
      <c r="C20" s="12">
        <f t="shared" si="2"/>
        <v>26295.383000000002</v>
      </c>
      <c r="D20" s="17" t="str">
        <f t="shared" si="3"/>
        <v>vis</v>
      </c>
      <c r="E20" s="41">
        <f>VLOOKUP(C20,A!C$21:E$972,3,FALSE)</f>
        <v>75.25011125339465</v>
      </c>
      <c r="F20" s="4" t="s">
        <v>55</v>
      </c>
      <c r="G20" s="17" t="str">
        <f t="shared" si="4"/>
        <v>26295.383</v>
      </c>
      <c r="H20" s="12">
        <f t="shared" si="5"/>
        <v>37</v>
      </c>
      <c r="I20" s="42" t="s">
        <v>68</v>
      </c>
      <c r="J20" s="43" t="s">
        <v>69</v>
      </c>
      <c r="K20" s="42">
        <v>37</v>
      </c>
      <c r="L20" s="42" t="s">
        <v>70</v>
      </c>
      <c r="M20" s="43" t="s">
        <v>60</v>
      </c>
      <c r="N20" s="43"/>
      <c r="O20" s="44" t="s">
        <v>61</v>
      </c>
      <c r="P20" s="44" t="s">
        <v>62</v>
      </c>
    </row>
    <row r="21" spans="1:16" ht="12.75" customHeight="1" thickBot="1" x14ac:dyDescent="0.25">
      <c r="A21" s="12" t="str">
        <f t="shared" si="0"/>
        <v> VB 5.15 </v>
      </c>
      <c r="B21" s="4" t="str">
        <f t="shared" si="1"/>
        <v>I</v>
      </c>
      <c r="C21" s="12">
        <f t="shared" si="2"/>
        <v>26295.41</v>
      </c>
      <c r="D21" s="17" t="str">
        <f t="shared" si="3"/>
        <v>vis</v>
      </c>
      <c r="E21" s="41">
        <f>VLOOKUP(C21,A!C$21:E$972,3,FALSE)</f>
        <v>75.25501548465607</v>
      </c>
      <c r="F21" s="4" t="s">
        <v>55</v>
      </c>
      <c r="G21" s="17" t="str">
        <f t="shared" si="4"/>
        <v>26295.410</v>
      </c>
      <c r="H21" s="12">
        <f t="shared" si="5"/>
        <v>37</v>
      </c>
      <c r="I21" s="42" t="s">
        <v>71</v>
      </c>
      <c r="J21" s="43" t="s">
        <v>72</v>
      </c>
      <c r="K21" s="42">
        <v>37</v>
      </c>
      <c r="L21" s="42" t="s">
        <v>73</v>
      </c>
      <c r="M21" s="43" t="s">
        <v>60</v>
      </c>
      <c r="N21" s="43"/>
      <c r="O21" s="44" t="s">
        <v>61</v>
      </c>
      <c r="P21" s="44" t="s">
        <v>62</v>
      </c>
    </row>
    <row r="22" spans="1:16" ht="12.75" customHeight="1" thickBot="1" x14ac:dyDescent="0.25">
      <c r="A22" s="12" t="str">
        <f t="shared" si="0"/>
        <v> VB 5.15 </v>
      </c>
      <c r="B22" s="4" t="str">
        <f t="shared" si="1"/>
        <v>II</v>
      </c>
      <c r="C22" s="12">
        <f t="shared" si="2"/>
        <v>26512.46</v>
      </c>
      <c r="D22" s="17" t="str">
        <f t="shared" si="3"/>
        <v>vis</v>
      </c>
      <c r="E22" s="41">
        <f>VLOOKUP(C22,A!C$21:E$972,3,FALSE)</f>
        <v>114.67958568327731</v>
      </c>
      <c r="F22" s="4" t="s">
        <v>55</v>
      </c>
      <c r="G22" s="17" t="str">
        <f t="shared" si="4"/>
        <v>26512.460</v>
      </c>
      <c r="H22" s="12">
        <f t="shared" si="5"/>
        <v>56.5</v>
      </c>
      <c r="I22" s="42" t="s">
        <v>74</v>
      </c>
      <c r="J22" s="43" t="s">
        <v>75</v>
      </c>
      <c r="K22" s="42">
        <v>56.5</v>
      </c>
      <c r="L22" s="42" t="s">
        <v>76</v>
      </c>
      <c r="M22" s="43" t="s">
        <v>60</v>
      </c>
      <c r="N22" s="43"/>
      <c r="O22" s="44" t="s">
        <v>61</v>
      </c>
      <c r="P22" s="44" t="s">
        <v>62</v>
      </c>
    </row>
    <row r="23" spans="1:16" ht="12.75" customHeight="1" thickBot="1" x14ac:dyDescent="0.25">
      <c r="A23" s="12" t="str">
        <f t="shared" si="0"/>
        <v> VB 5.15 </v>
      </c>
      <c r="B23" s="4" t="str">
        <f t="shared" si="1"/>
        <v>I</v>
      </c>
      <c r="C23" s="12">
        <f t="shared" si="2"/>
        <v>26562.421999999999</v>
      </c>
      <c r="D23" s="17" t="str">
        <f t="shared" si="3"/>
        <v>vis</v>
      </c>
      <c r="E23" s="41">
        <f>VLOOKUP(C23,A!C$21:E$972,3,FALSE)</f>
        <v>123.75459317585276</v>
      </c>
      <c r="F23" s="4" t="s">
        <v>55</v>
      </c>
      <c r="G23" s="17" t="str">
        <f t="shared" si="4"/>
        <v>26562.422</v>
      </c>
      <c r="H23" s="12">
        <f t="shared" si="5"/>
        <v>61</v>
      </c>
      <c r="I23" s="42" t="s">
        <v>77</v>
      </c>
      <c r="J23" s="43" t="s">
        <v>78</v>
      </c>
      <c r="K23" s="42">
        <v>61</v>
      </c>
      <c r="L23" s="42" t="s">
        <v>79</v>
      </c>
      <c r="M23" s="43" t="s">
        <v>60</v>
      </c>
      <c r="N23" s="43"/>
      <c r="O23" s="44" t="s">
        <v>61</v>
      </c>
      <c r="P23" s="44" t="s">
        <v>62</v>
      </c>
    </row>
    <row r="24" spans="1:16" ht="12.75" customHeight="1" thickBot="1" x14ac:dyDescent="0.25">
      <c r="A24" s="12" t="str">
        <f t="shared" si="0"/>
        <v> VB 5.15 </v>
      </c>
      <c r="B24" s="4" t="str">
        <f t="shared" si="1"/>
        <v>I</v>
      </c>
      <c r="C24" s="12">
        <f t="shared" si="2"/>
        <v>26562.498</v>
      </c>
      <c r="D24" s="17" t="str">
        <f t="shared" si="3"/>
        <v>vis</v>
      </c>
      <c r="E24" s="41">
        <f>VLOOKUP(C24,A!C$21:E$972,3,FALSE)</f>
        <v>123.76839767866379</v>
      </c>
      <c r="F24" s="4" t="s">
        <v>55</v>
      </c>
      <c r="G24" s="17" t="str">
        <f t="shared" si="4"/>
        <v>26562.498</v>
      </c>
      <c r="H24" s="12">
        <f t="shared" si="5"/>
        <v>61</v>
      </c>
      <c r="I24" s="42" t="s">
        <v>80</v>
      </c>
      <c r="J24" s="43" t="s">
        <v>81</v>
      </c>
      <c r="K24" s="42">
        <v>61</v>
      </c>
      <c r="L24" s="42" t="s">
        <v>82</v>
      </c>
      <c r="M24" s="43" t="s">
        <v>60</v>
      </c>
      <c r="N24" s="43"/>
      <c r="O24" s="44" t="s">
        <v>61</v>
      </c>
      <c r="P24" s="44" t="s">
        <v>62</v>
      </c>
    </row>
    <row r="25" spans="1:16" ht="12.75" customHeight="1" thickBot="1" x14ac:dyDescent="0.25">
      <c r="A25" s="12" t="str">
        <f t="shared" si="0"/>
        <v> VB 5.15 </v>
      </c>
      <c r="B25" s="4" t="str">
        <f t="shared" si="1"/>
        <v>I</v>
      </c>
      <c r="C25" s="12">
        <f t="shared" si="2"/>
        <v>26573.352999999999</v>
      </c>
      <c r="D25" s="17" t="str">
        <f t="shared" si="3"/>
        <v>vis</v>
      </c>
      <c r="E25" s="41">
        <f>VLOOKUP(C25,A!C$21:E$972,3,FALSE)</f>
        <v>125.74008028408197</v>
      </c>
      <c r="F25" s="4" t="s">
        <v>55</v>
      </c>
      <c r="G25" s="17" t="str">
        <f t="shared" si="4"/>
        <v>26573.353</v>
      </c>
      <c r="H25" s="12">
        <f t="shared" si="5"/>
        <v>62</v>
      </c>
      <c r="I25" s="42" t="s">
        <v>83</v>
      </c>
      <c r="J25" s="43" t="s">
        <v>84</v>
      </c>
      <c r="K25" s="42">
        <v>62</v>
      </c>
      <c r="L25" s="42" t="s">
        <v>85</v>
      </c>
      <c r="M25" s="43" t="s">
        <v>60</v>
      </c>
      <c r="N25" s="43"/>
      <c r="O25" s="44" t="s">
        <v>61</v>
      </c>
      <c r="P25" s="44" t="s">
        <v>62</v>
      </c>
    </row>
    <row r="26" spans="1:16" ht="12.75" customHeight="1" thickBot="1" x14ac:dyDescent="0.25">
      <c r="A26" s="12" t="str">
        <f t="shared" si="0"/>
        <v> VB 5.15 </v>
      </c>
      <c r="B26" s="4" t="str">
        <f t="shared" si="1"/>
        <v>I</v>
      </c>
      <c r="C26" s="12">
        <f t="shared" si="2"/>
        <v>26573.435000000001</v>
      </c>
      <c r="D26" s="17" t="str">
        <f t="shared" si="3"/>
        <v>vis</v>
      </c>
      <c r="E26" s="41">
        <f>VLOOKUP(C26,A!C$21:E$972,3,FALSE)</f>
        <v>125.7549746160625</v>
      </c>
      <c r="F26" s="4" t="s">
        <v>55</v>
      </c>
      <c r="G26" s="17" t="str">
        <f t="shared" si="4"/>
        <v>26573.435</v>
      </c>
      <c r="H26" s="12">
        <f t="shared" si="5"/>
        <v>62</v>
      </c>
      <c r="I26" s="42" t="s">
        <v>86</v>
      </c>
      <c r="J26" s="43" t="s">
        <v>87</v>
      </c>
      <c r="K26" s="42">
        <v>62</v>
      </c>
      <c r="L26" s="42" t="s">
        <v>88</v>
      </c>
      <c r="M26" s="43" t="s">
        <v>60</v>
      </c>
      <c r="N26" s="43"/>
      <c r="O26" s="44" t="s">
        <v>61</v>
      </c>
      <c r="P26" s="44" t="s">
        <v>62</v>
      </c>
    </row>
    <row r="27" spans="1:16" ht="12.75" customHeight="1" thickBot="1" x14ac:dyDescent="0.25">
      <c r="A27" s="12" t="str">
        <f t="shared" si="0"/>
        <v> VB 5.15 </v>
      </c>
      <c r="B27" s="4" t="str">
        <f t="shared" si="1"/>
        <v>II</v>
      </c>
      <c r="C27" s="12">
        <f t="shared" si="2"/>
        <v>26601.484</v>
      </c>
      <c r="D27" s="17" t="str">
        <f t="shared" si="3"/>
        <v>vis</v>
      </c>
      <c r="E27" s="41">
        <f>VLOOKUP(C27,A!C$21:E$972,3,FALSE)</f>
        <v>130.84974434424078</v>
      </c>
      <c r="F27" s="4" t="s">
        <v>55</v>
      </c>
      <c r="G27" s="17" t="str">
        <f t="shared" si="4"/>
        <v>26601.484</v>
      </c>
      <c r="H27" s="12">
        <f t="shared" si="5"/>
        <v>64.5</v>
      </c>
      <c r="I27" s="42" t="s">
        <v>89</v>
      </c>
      <c r="J27" s="43" t="s">
        <v>90</v>
      </c>
      <c r="K27" s="42">
        <v>64.5</v>
      </c>
      <c r="L27" s="42" t="s">
        <v>91</v>
      </c>
      <c r="M27" s="43" t="s">
        <v>60</v>
      </c>
      <c r="N27" s="43"/>
      <c r="O27" s="44" t="s">
        <v>61</v>
      </c>
      <c r="P27" s="44" t="s">
        <v>62</v>
      </c>
    </row>
    <row r="28" spans="1:16" ht="12.75" customHeight="1" thickBot="1" x14ac:dyDescent="0.25">
      <c r="A28" s="12" t="str">
        <f t="shared" si="0"/>
        <v> VB 5.15 </v>
      </c>
      <c r="B28" s="4" t="str">
        <f t="shared" si="1"/>
        <v>II</v>
      </c>
      <c r="C28" s="12">
        <f t="shared" si="2"/>
        <v>26601.526999999998</v>
      </c>
      <c r="D28" s="17" t="str">
        <f t="shared" si="3"/>
        <v>vis</v>
      </c>
      <c r="E28" s="41">
        <f>VLOOKUP(C28,A!C$21:E$972,3,FALSE)</f>
        <v>130.8575547866202</v>
      </c>
      <c r="F28" s="4" t="s">
        <v>55</v>
      </c>
      <c r="G28" s="17" t="str">
        <f t="shared" si="4"/>
        <v>26601.527</v>
      </c>
      <c r="H28" s="12">
        <f t="shared" si="5"/>
        <v>64.5</v>
      </c>
      <c r="I28" s="42" t="s">
        <v>92</v>
      </c>
      <c r="J28" s="43" t="s">
        <v>93</v>
      </c>
      <c r="K28" s="42">
        <v>64.5</v>
      </c>
      <c r="L28" s="42" t="s">
        <v>94</v>
      </c>
      <c r="M28" s="43" t="s">
        <v>60</v>
      </c>
      <c r="N28" s="43"/>
      <c r="O28" s="44" t="s">
        <v>61</v>
      </c>
      <c r="P28" s="44" t="s">
        <v>62</v>
      </c>
    </row>
    <row r="29" spans="1:16" ht="12.75" customHeight="1" thickBot="1" x14ac:dyDescent="0.25">
      <c r="A29" s="12" t="str">
        <f t="shared" si="0"/>
        <v> VB 5.15 </v>
      </c>
      <c r="B29" s="4" t="str">
        <f t="shared" si="1"/>
        <v>I</v>
      </c>
      <c r="C29" s="12">
        <f t="shared" si="2"/>
        <v>26651.350999999999</v>
      </c>
      <c r="D29" s="17" t="str">
        <f t="shared" si="3"/>
        <v>vis</v>
      </c>
      <c r="E29" s="41">
        <f>VLOOKUP(C29,A!C$21:E$972,3,FALSE)</f>
        <v>139.90749620830243</v>
      </c>
      <c r="F29" s="4" t="s">
        <v>55</v>
      </c>
      <c r="G29" s="17" t="str">
        <f t="shared" si="4"/>
        <v>26651.351</v>
      </c>
      <c r="H29" s="12">
        <f t="shared" si="5"/>
        <v>69</v>
      </c>
      <c r="I29" s="42" t="s">
        <v>95</v>
      </c>
      <c r="J29" s="43" t="s">
        <v>96</v>
      </c>
      <c r="K29" s="42">
        <v>69</v>
      </c>
      <c r="L29" s="42" t="s">
        <v>97</v>
      </c>
      <c r="M29" s="43" t="s">
        <v>60</v>
      </c>
      <c r="N29" s="43"/>
      <c r="O29" s="44" t="s">
        <v>61</v>
      </c>
      <c r="P29" s="44" t="s">
        <v>62</v>
      </c>
    </row>
    <row r="30" spans="1:16" ht="12.75" customHeight="1" thickBot="1" x14ac:dyDescent="0.25">
      <c r="A30" s="12" t="str">
        <f t="shared" si="0"/>
        <v> VB 5.15 </v>
      </c>
      <c r="B30" s="4" t="str">
        <f t="shared" si="1"/>
        <v>I</v>
      </c>
      <c r="C30" s="12">
        <f t="shared" si="2"/>
        <v>26918.535</v>
      </c>
      <c r="D30" s="17" t="str">
        <f t="shared" si="3"/>
        <v>vis</v>
      </c>
      <c r="E30" s="41">
        <f>VLOOKUP(C30,A!C$21:E$972,3,FALSE)</f>
        <v>188.43831566901886</v>
      </c>
      <c r="F30" s="4" t="s">
        <v>55</v>
      </c>
      <c r="G30" s="17" t="str">
        <f t="shared" si="4"/>
        <v>26918.535</v>
      </c>
      <c r="H30" s="12">
        <f t="shared" si="5"/>
        <v>93</v>
      </c>
      <c r="I30" s="42" t="s">
        <v>98</v>
      </c>
      <c r="J30" s="43" t="s">
        <v>99</v>
      </c>
      <c r="K30" s="42">
        <v>93</v>
      </c>
      <c r="L30" s="42" t="s">
        <v>100</v>
      </c>
      <c r="M30" s="43" t="s">
        <v>60</v>
      </c>
      <c r="N30" s="43"/>
      <c r="O30" s="44" t="s">
        <v>61</v>
      </c>
      <c r="P30" s="44" t="s">
        <v>62</v>
      </c>
    </row>
    <row r="31" spans="1:16" ht="12.75" customHeight="1" thickBot="1" x14ac:dyDescent="0.25">
      <c r="A31" s="12" t="str">
        <f t="shared" si="0"/>
        <v> VB 5.15 </v>
      </c>
      <c r="B31" s="4" t="str">
        <f t="shared" si="1"/>
        <v>I</v>
      </c>
      <c r="C31" s="12">
        <f t="shared" si="2"/>
        <v>26929.524000000001</v>
      </c>
      <c r="D31" s="17" t="str">
        <f t="shared" si="3"/>
        <v>vis</v>
      </c>
      <c r="E31" s="41">
        <f>VLOOKUP(C31,A!C$21:E$972,3,FALSE)</f>
        <v>190.43433779255125</v>
      </c>
      <c r="F31" s="4" t="s">
        <v>55</v>
      </c>
      <c r="G31" s="17" t="str">
        <f t="shared" si="4"/>
        <v>26929.524</v>
      </c>
      <c r="H31" s="12">
        <f t="shared" si="5"/>
        <v>94</v>
      </c>
      <c r="I31" s="42" t="s">
        <v>101</v>
      </c>
      <c r="J31" s="43" t="s">
        <v>102</v>
      </c>
      <c r="K31" s="42">
        <v>94</v>
      </c>
      <c r="L31" s="42" t="s">
        <v>103</v>
      </c>
      <c r="M31" s="43" t="s">
        <v>60</v>
      </c>
      <c r="N31" s="43"/>
      <c r="O31" s="44" t="s">
        <v>61</v>
      </c>
      <c r="P31" s="44" t="s">
        <v>62</v>
      </c>
    </row>
    <row r="32" spans="1:16" ht="12.75" customHeight="1" thickBot="1" x14ac:dyDescent="0.25">
      <c r="A32" s="12" t="str">
        <f t="shared" si="0"/>
        <v> VB 5.15 </v>
      </c>
      <c r="B32" s="4" t="str">
        <f t="shared" si="1"/>
        <v>I</v>
      </c>
      <c r="C32" s="12">
        <f t="shared" si="2"/>
        <v>26929.544999999998</v>
      </c>
      <c r="D32" s="17" t="str">
        <f t="shared" si="3"/>
        <v>vis</v>
      </c>
      <c r="E32" s="41">
        <f>VLOOKUP(C32,A!C$21:E$972,3,FALSE)</f>
        <v>190.43815219464318</v>
      </c>
      <c r="F32" s="4" t="s">
        <v>55</v>
      </c>
      <c r="G32" s="17" t="str">
        <f t="shared" si="4"/>
        <v>26929.545</v>
      </c>
      <c r="H32" s="12">
        <f t="shared" si="5"/>
        <v>94</v>
      </c>
      <c r="I32" s="42" t="s">
        <v>104</v>
      </c>
      <c r="J32" s="43" t="s">
        <v>105</v>
      </c>
      <c r="K32" s="42">
        <v>94</v>
      </c>
      <c r="L32" s="42" t="s">
        <v>106</v>
      </c>
      <c r="M32" s="43" t="s">
        <v>60</v>
      </c>
      <c r="N32" s="43"/>
      <c r="O32" s="44" t="s">
        <v>61</v>
      </c>
      <c r="P32" s="44" t="s">
        <v>62</v>
      </c>
    </row>
    <row r="33" spans="1:16" ht="12.75" customHeight="1" thickBot="1" x14ac:dyDescent="0.25">
      <c r="A33" s="12" t="str">
        <f t="shared" si="0"/>
        <v> VB 5.15 </v>
      </c>
      <c r="B33" s="4" t="str">
        <f t="shared" si="1"/>
        <v>II</v>
      </c>
      <c r="C33" s="12">
        <f t="shared" si="2"/>
        <v>26946.452000000001</v>
      </c>
      <c r="D33" s="17" t="str">
        <f t="shared" si="3"/>
        <v>vis</v>
      </c>
      <c r="E33" s="41">
        <f>VLOOKUP(C33,A!C$21:E$972,3,FALSE)</f>
        <v>193.50910915547342</v>
      </c>
      <c r="F33" s="4" t="s">
        <v>55</v>
      </c>
      <c r="G33" s="17" t="str">
        <f t="shared" si="4"/>
        <v>26946.452</v>
      </c>
      <c r="H33" s="12">
        <f t="shared" si="5"/>
        <v>95.5</v>
      </c>
      <c r="I33" s="42" t="s">
        <v>107</v>
      </c>
      <c r="J33" s="43" t="s">
        <v>108</v>
      </c>
      <c r="K33" s="42">
        <v>95.5</v>
      </c>
      <c r="L33" s="42" t="s">
        <v>109</v>
      </c>
      <c r="M33" s="43" t="s">
        <v>60</v>
      </c>
      <c r="N33" s="43"/>
      <c r="O33" s="44" t="s">
        <v>61</v>
      </c>
      <c r="P33" s="44" t="s">
        <v>62</v>
      </c>
    </row>
    <row r="34" spans="1:16" ht="12.75" customHeight="1" thickBot="1" x14ac:dyDescent="0.25">
      <c r="A34" s="12" t="str">
        <f t="shared" si="0"/>
        <v> VB 5.15 </v>
      </c>
      <c r="B34" s="4" t="str">
        <f t="shared" si="1"/>
        <v>I</v>
      </c>
      <c r="C34" s="12">
        <f t="shared" si="2"/>
        <v>26985.418000000001</v>
      </c>
      <c r="D34" s="17" t="str">
        <f t="shared" si="3"/>
        <v>vis</v>
      </c>
      <c r="E34" s="41">
        <f>VLOOKUP(C34,A!C$21:E$972,3,FALSE)</f>
        <v>200.58682305715271</v>
      </c>
      <c r="F34" s="4" t="s">
        <v>55</v>
      </c>
      <c r="G34" s="17" t="str">
        <f t="shared" si="4"/>
        <v>26985.418</v>
      </c>
      <c r="H34" s="12">
        <f t="shared" si="5"/>
        <v>99</v>
      </c>
      <c r="I34" s="42" t="s">
        <v>110</v>
      </c>
      <c r="J34" s="43" t="s">
        <v>111</v>
      </c>
      <c r="K34" s="42">
        <v>99</v>
      </c>
      <c r="L34" s="42" t="s">
        <v>112</v>
      </c>
      <c r="M34" s="43" t="s">
        <v>60</v>
      </c>
      <c r="N34" s="43"/>
      <c r="O34" s="44" t="s">
        <v>61</v>
      </c>
      <c r="P34" s="44" t="s">
        <v>62</v>
      </c>
    </row>
    <row r="35" spans="1:16" ht="12.75" customHeight="1" thickBot="1" x14ac:dyDescent="0.25">
      <c r="A35" s="12" t="str">
        <f t="shared" si="0"/>
        <v> VB 5.15 </v>
      </c>
      <c r="B35" s="4" t="str">
        <f t="shared" si="1"/>
        <v>II</v>
      </c>
      <c r="C35" s="12">
        <f t="shared" si="2"/>
        <v>27302.491000000002</v>
      </c>
      <c r="D35" s="17" t="str">
        <f t="shared" si="3"/>
        <v>vis</v>
      </c>
      <c r="E35" s="41">
        <f>VLOOKUP(C35,A!C$21:E$972,3,FALSE)</f>
        <v>258.17939042221832</v>
      </c>
      <c r="F35" s="4" t="s">
        <v>55</v>
      </c>
      <c r="G35" s="17" t="str">
        <f t="shared" si="4"/>
        <v>27302.491</v>
      </c>
      <c r="H35" s="12">
        <f t="shared" si="5"/>
        <v>127.5</v>
      </c>
      <c r="I35" s="42" t="s">
        <v>113</v>
      </c>
      <c r="J35" s="43" t="s">
        <v>114</v>
      </c>
      <c r="K35" s="42">
        <v>127.5</v>
      </c>
      <c r="L35" s="42" t="s">
        <v>115</v>
      </c>
      <c r="M35" s="43" t="s">
        <v>60</v>
      </c>
      <c r="N35" s="43"/>
      <c r="O35" s="44" t="s">
        <v>61</v>
      </c>
      <c r="P35" s="44" t="s">
        <v>62</v>
      </c>
    </row>
    <row r="36" spans="1:16" ht="12.75" customHeight="1" thickBot="1" x14ac:dyDescent="0.25">
      <c r="A36" s="12" t="str">
        <f t="shared" si="0"/>
        <v> VB 5.15 </v>
      </c>
      <c r="B36" s="4" t="str">
        <f t="shared" si="1"/>
        <v>II</v>
      </c>
      <c r="C36" s="12">
        <f t="shared" si="2"/>
        <v>27313.381000000001</v>
      </c>
      <c r="D36" s="17" t="str">
        <f t="shared" si="3"/>
        <v>vis</v>
      </c>
      <c r="E36" s="41">
        <f>VLOOKUP(C36,A!C$21:E$972,3,FALSE)</f>
        <v>260.15743036445724</v>
      </c>
      <c r="F36" s="4" t="s">
        <v>55</v>
      </c>
      <c r="G36" s="17" t="str">
        <f t="shared" si="4"/>
        <v>27313.381</v>
      </c>
      <c r="H36" s="12">
        <f t="shared" si="5"/>
        <v>128.5</v>
      </c>
      <c r="I36" s="42" t="s">
        <v>116</v>
      </c>
      <c r="J36" s="43" t="s">
        <v>117</v>
      </c>
      <c r="K36" s="42">
        <v>128.5</v>
      </c>
      <c r="L36" s="42" t="s">
        <v>118</v>
      </c>
      <c r="M36" s="43" t="s">
        <v>60</v>
      </c>
      <c r="N36" s="43"/>
      <c r="O36" s="44" t="s">
        <v>61</v>
      </c>
      <c r="P36" s="44" t="s">
        <v>62</v>
      </c>
    </row>
    <row r="37" spans="1:16" ht="12.75" customHeight="1" thickBot="1" x14ac:dyDescent="0.25">
      <c r="A37" s="12" t="str">
        <f t="shared" si="0"/>
        <v> VB 5.15 </v>
      </c>
      <c r="B37" s="4" t="str">
        <f t="shared" si="1"/>
        <v>II</v>
      </c>
      <c r="C37" s="12">
        <f t="shared" si="2"/>
        <v>27313.402999999998</v>
      </c>
      <c r="D37" s="17" t="str">
        <f t="shared" si="3"/>
        <v>vis</v>
      </c>
      <c r="E37" s="41">
        <f>VLOOKUP(C37,A!C$21:E$972,3,FALSE)</f>
        <v>260.16142640474408</v>
      </c>
      <c r="F37" s="4" t="s">
        <v>55</v>
      </c>
      <c r="G37" s="17" t="str">
        <f t="shared" si="4"/>
        <v>27313.403</v>
      </c>
      <c r="H37" s="12">
        <f t="shared" si="5"/>
        <v>128.5</v>
      </c>
      <c r="I37" s="42" t="s">
        <v>119</v>
      </c>
      <c r="J37" s="43" t="s">
        <v>120</v>
      </c>
      <c r="K37" s="42">
        <v>128.5</v>
      </c>
      <c r="L37" s="42" t="s">
        <v>121</v>
      </c>
      <c r="M37" s="43" t="s">
        <v>60</v>
      </c>
      <c r="N37" s="43"/>
      <c r="O37" s="44" t="s">
        <v>61</v>
      </c>
      <c r="P37" s="44" t="s">
        <v>62</v>
      </c>
    </row>
    <row r="38" spans="1:16" ht="12.75" customHeight="1" thickBot="1" x14ac:dyDescent="0.25">
      <c r="A38" s="12" t="str">
        <f t="shared" si="0"/>
        <v> VB 5.15 </v>
      </c>
      <c r="B38" s="4" t="str">
        <f t="shared" si="1"/>
        <v>I</v>
      </c>
      <c r="C38" s="12">
        <f t="shared" si="2"/>
        <v>28398.454000000002</v>
      </c>
      <c r="D38" s="17" t="str">
        <f t="shared" si="3"/>
        <v>vis</v>
      </c>
      <c r="E38" s="41">
        <f>VLOOKUP(C38,A!C$21:E$972,3,FALSE)</f>
        <v>457.24813139707044</v>
      </c>
      <c r="F38" s="4" t="s">
        <v>55</v>
      </c>
      <c r="G38" s="17" t="str">
        <f t="shared" si="4"/>
        <v>28398.454</v>
      </c>
      <c r="H38" s="12">
        <f t="shared" si="5"/>
        <v>226</v>
      </c>
      <c r="I38" s="42" t="s">
        <v>122</v>
      </c>
      <c r="J38" s="43" t="s">
        <v>123</v>
      </c>
      <c r="K38" s="42">
        <v>226</v>
      </c>
      <c r="L38" s="42" t="s">
        <v>124</v>
      </c>
      <c r="M38" s="43" t="s">
        <v>60</v>
      </c>
      <c r="N38" s="43"/>
      <c r="O38" s="44" t="s">
        <v>61</v>
      </c>
      <c r="P38" s="44" t="s">
        <v>62</v>
      </c>
    </row>
    <row r="39" spans="1:16" ht="12.75" customHeight="1" thickBot="1" x14ac:dyDescent="0.25">
      <c r="A39" s="12" t="str">
        <f t="shared" si="0"/>
        <v> VB 5.15 </v>
      </c>
      <c r="B39" s="4" t="str">
        <f t="shared" si="1"/>
        <v>I</v>
      </c>
      <c r="C39" s="12">
        <f t="shared" si="2"/>
        <v>28398.474999999999</v>
      </c>
      <c r="D39" s="17" t="str">
        <f t="shared" si="3"/>
        <v>vis</v>
      </c>
      <c r="E39" s="41">
        <f>VLOOKUP(C39,A!C$21:E$972,3,FALSE)</f>
        <v>457.2519457991624</v>
      </c>
      <c r="F39" s="4" t="s">
        <v>55</v>
      </c>
      <c r="G39" s="17" t="str">
        <f t="shared" si="4"/>
        <v>28398.475</v>
      </c>
      <c r="H39" s="12">
        <f t="shared" si="5"/>
        <v>226</v>
      </c>
      <c r="I39" s="42" t="s">
        <v>125</v>
      </c>
      <c r="J39" s="43" t="s">
        <v>126</v>
      </c>
      <c r="K39" s="42">
        <v>226</v>
      </c>
      <c r="L39" s="42" t="s">
        <v>127</v>
      </c>
      <c r="M39" s="43" t="s">
        <v>60</v>
      </c>
      <c r="N39" s="43"/>
      <c r="O39" s="44" t="s">
        <v>61</v>
      </c>
      <c r="P39" s="44" t="s">
        <v>62</v>
      </c>
    </row>
    <row r="40" spans="1:16" ht="12.75" customHeight="1" thickBot="1" x14ac:dyDescent="0.25">
      <c r="A40" s="12" t="str">
        <f t="shared" si="0"/>
        <v> VB 5.15 </v>
      </c>
      <c r="B40" s="4" t="str">
        <f t="shared" si="1"/>
        <v>II</v>
      </c>
      <c r="C40" s="12">
        <f t="shared" si="2"/>
        <v>28837.477999999999</v>
      </c>
      <c r="D40" s="17" t="str">
        <f t="shared" si="3"/>
        <v>vis</v>
      </c>
      <c r="E40" s="41">
        <f>VLOOKUP(C40,A!C$21:E$972,3,FALSE)</f>
        <v>536.99165826590001</v>
      </c>
      <c r="F40" s="4" t="s">
        <v>55</v>
      </c>
      <c r="G40" s="17" t="str">
        <f t="shared" si="4"/>
        <v>28837.478</v>
      </c>
      <c r="H40" s="12">
        <f t="shared" si="5"/>
        <v>265.5</v>
      </c>
      <c r="I40" s="42" t="s">
        <v>128</v>
      </c>
      <c r="J40" s="43" t="s">
        <v>129</v>
      </c>
      <c r="K40" s="42">
        <v>265.5</v>
      </c>
      <c r="L40" s="42" t="s">
        <v>130</v>
      </c>
      <c r="M40" s="43" t="s">
        <v>60</v>
      </c>
      <c r="N40" s="43"/>
      <c r="O40" s="44" t="s">
        <v>61</v>
      </c>
      <c r="P40" s="44" t="s">
        <v>62</v>
      </c>
    </row>
    <row r="41" spans="1:16" ht="12.75" customHeight="1" thickBot="1" x14ac:dyDescent="0.25">
      <c r="A41" s="12" t="str">
        <f t="shared" si="0"/>
        <v> VB 5.15 </v>
      </c>
      <c r="B41" s="4" t="str">
        <f t="shared" si="1"/>
        <v>I</v>
      </c>
      <c r="C41" s="12">
        <f t="shared" si="2"/>
        <v>29054.506000000001</v>
      </c>
      <c r="D41" s="17" t="str">
        <f t="shared" si="3"/>
        <v>vis</v>
      </c>
      <c r="E41" s="41">
        <f>VLOOKUP(C41,A!C$21:E$972,3,FALSE)</f>
        <v>576.41223242423439</v>
      </c>
      <c r="F41" s="4" t="s">
        <v>55</v>
      </c>
      <c r="G41" s="17" t="str">
        <f t="shared" si="4"/>
        <v>29054.506</v>
      </c>
      <c r="H41" s="12">
        <f t="shared" si="5"/>
        <v>285</v>
      </c>
      <c r="I41" s="42" t="s">
        <v>131</v>
      </c>
      <c r="J41" s="43" t="s">
        <v>132</v>
      </c>
      <c r="K41" s="42">
        <v>285</v>
      </c>
      <c r="L41" s="42" t="s">
        <v>133</v>
      </c>
      <c r="M41" s="43" t="s">
        <v>60</v>
      </c>
      <c r="N41" s="43"/>
      <c r="O41" s="44" t="s">
        <v>61</v>
      </c>
      <c r="P41" s="44" t="s">
        <v>62</v>
      </c>
    </row>
    <row r="42" spans="1:16" ht="12.75" customHeight="1" thickBot="1" x14ac:dyDescent="0.25">
      <c r="A42" s="12" t="str">
        <f t="shared" si="0"/>
        <v> VB 5.15 </v>
      </c>
      <c r="B42" s="4" t="str">
        <f t="shared" si="1"/>
        <v>II</v>
      </c>
      <c r="C42" s="12">
        <f t="shared" si="2"/>
        <v>29104.521000000001</v>
      </c>
      <c r="D42" s="17" t="str">
        <f t="shared" si="3"/>
        <v>vis</v>
      </c>
      <c r="E42" s="41">
        <f>VLOOKUP(C42,A!C$21:E$972,3,FALSE)</f>
        <v>585.49686674113843</v>
      </c>
      <c r="F42" s="4" t="s">
        <v>55</v>
      </c>
      <c r="G42" s="17" t="str">
        <f t="shared" si="4"/>
        <v>29104.521</v>
      </c>
      <c r="H42" s="12">
        <f t="shared" si="5"/>
        <v>289.5</v>
      </c>
      <c r="I42" s="42" t="s">
        <v>134</v>
      </c>
      <c r="J42" s="43" t="s">
        <v>135</v>
      </c>
      <c r="K42" s="42">
        <v>289.5</v>
      </c>
      <c r="L42" s="42" t="s">
        <v>136</v>
      </c>
      <c r="M42" s="43" t="s">
        <v>60</v>
      </c>
      <c r="N42" s="43"/>
      <c r="O42" s="44" t="s">
        <v>61</v>
      </c>
      <c r="P42" s="44" t="s">
        <v>62</v>
      </c>
    </row>
    <row r="43" spans="1:16" ht="12.75" customHeight="1" thickBot="1" x14ac:dyDescent="0.25">
      <c r="A43" s="12" t="str">
        <f t="shared" si="0"/>
        <v> VB 5.15 </v>
      </c>
      <c r="B43" s="4" t="str">
        <f t="shared" si="1"/>
        <v>I</v>
      </c>
      <c r="C43" s="12">
        <f t="shared" si="2"/>
        <v>29143.486000000001</v>
      </c>
      <c r="D43" s="17" t="str">
        <f t="shared" si="3"/>
        <v>vis</v>
      </c>
      <c r="E43" s="41">
        <f>VLOOKUP(C43,A!C$21:E$972,3,FALSE)</f>
        <v>592.57439900462282</v>
      </c>
      <c r="F43" s="4" t="s">
        <v>55</v>
      </c>
      <c r="G43" s="17" t="str">
        <f t="shared" si="4"/>
        <v>29143.486</v>
      </c>
      <c r="H43" s="12">
        <f t="shared" si="5"/>
        <v>293</v>
      </c>
      <c r="I43" s="42" t="s">
        <v>137</v>
      </c>
      <c r="J43" s="43" t="s">
        <v>138</v>
      </c>
      <c r="K43" s="42">
        <v>293</v>
      </c>
      <c r="L43" s="42" t="s">
        <v>88</v>
      </c>
      <c r="M43" s="43" t="s">
        <v>60</v>
      </c>
      <c r="N43" s="43"/>
      <c r="O43" s="44" t="s">
        <v>61</v>
      </c>
      <c r="P43" s="44" t="s">
        <v>62</v>
      </c>
    </row>
    <row r="44" spans="1:16" ht="12.75" customHeight="1" thickBot="1" x14ac:dyDescent="0.25">
      <c r="A44" s="12" t="str">
        <f t="shared" si="0"/>
        <v> VB 5.15 </v>
      </c>
      <c r="B44" s="4" t="str">
        <f t="shared" si="1"/>
        <v>II</v>
      </c>
      <c r="C44" s="12">
        <f t="shared" si="2"/>
        <v>29160.429</v>
      </c>
      <c r="D44" s="17" t="str">
        <f t="shared" si="3"/>
        <v>vis</v>
      </c>
      <c r="E44" s="41">
        <f>VLOOKUP(C44,A!C$21:E$972,3,FALSE)</f>
        <v>595.65189494046808</v>
      </c>
      <c r="F44" s="4" t="s">
        <v>55</v>
      </c>
      <c r="G44" s="17" t="str">
        <f t="shared" si="4"/>
        <v>29160.429</v>
      </c>
      <c r="H44" s="12">
        <f t="shared" si="5"/>
        <v>294.5</v>
      </c>
      <c r="I44" s="42" t="s">
        <v>139</v>
      </c>
      <c r="J44" s="43" t="s">
        <v>140</v>
      </c>
      <c r="K44" s="42">
        <v>294.5</v>
      </c>
      <c r="L44" s="42" t="s">
        <v>141</v>
      </c>
      <c r="M44" s="43" t="s">
        <v>60</v>
      </c>
      <c r="N44" s="43"/>
      <c r="O44" s="44" t="s">
        <v>61</v>
      </c>
      <c r="P44" s="44" t="s">
        <v>62</v>
      </c>
    </row>
    <row r="45" spans="1:16" ht="12.75" customHeight="1" thickBot="1" x14ac:dyDescent="0.25">
      <c r="A45" s="12" t="str">
        <f t="shared" si="0"/>
        <v> VB 5.15 </v>
      </c>
      <c r="B45" s="4" t="str">
        <f t="shared" si="1"/>
        <v>I</v>
      </c>
      <c r="C45" s="12">
        <f t="shared" si="2"/>
        <v>29533.324000000001</v>
      </c>
      <c r="D45" s="17" t="str">
        <f t="shared" si="3"/>
        <v>vis</v>
      </c>
      <c r="E45" s="41">
        <f>VLOOKUP(C45,A!C$21:E$972,3,FALSE)</f>
        <v>663.38386962010384</v>
      </c>
      <c r="F45" s="4" t="s">
        <v>55</v>
      </c>
      <c r="G45" s="17" t="str">
        <f t="shared" si="4"/>
        <v>29533.324</v>
      </c>
      <c r="H45" s="12">
        <f t="shared" si="5"/>
        <v>328</v>
      </c>
      <c r="I45" s="42" t="s">
        <v>142</v>
      </c>
      <c r="J45" s="43" t="s">
        <v>143</v>
      </c>
      <c r="K45" s="42">
        <v>328</v>
      </c>
      <c r="L45" s="42" t="s">
        <v>144</v>
      </c>
      <c r="M45" s="43" t="s">
        <v>60</v>
      </c>
      <c r="N45" s="43"/>
      <c r="O45" s="44" t="s">
        <v>61</v>
      </c>
      <c r="P45" s="44" t="s">
        <v>62</v>
      </c>
    </row>
    <row r="46" spans="1:16" ht="12.75" customHeight="1" thickBot="1" x14ac:dyDescent="0.25">
      <c r="A46" s="12" t="str">
        <f t="shared" si="0"/>
        <v> VB 5.15 </v>
      </c>
      <c r="B46" s="4" t="str">
        <f t="shared" si="1"/>
        <v>I</v>
      </c>
      <c r="C46" s="12">
        <f t="shared" si="2"/>
        <v>34250.430999999997</v>
      </c>
      <c r="D46" s="17" t="str">
        <f t="shared" si="3"/>
        <v>vis</v>
      </c>
      <c r="E46" s="41">
        <f>VLOOKUP(C46,A!C$21:E$972,3,FALSE)</f>
        <v>1520.1906701541195</v>
      </c>
      <c r="F46" s="4" t="s">
        <v>55</v>
      </c>
      <c r="G46" s="17" t="str">
        <f t="shared" si="4"/>
        <v>34250.431</v>
      </c>
      <c r="H46" s="12">
        <f t="shared" si="5"/>
        <v>752</v>
      </c>
      <c r="I46" s="42" t="s">
        <v>145</v>
      </c>
      <c r="J46" s="43" t="s">
        <v>146</v>
      </c>
      <c r="K46" s="42">
        <v>752</v>
      </c>
      <c r="L46" s="42" t="s">
        <v>147</v>
      </c>
      <c r="M46" s="43" t="s">
        <v>60</v>
      </c>
      <c r="N46" s="43"/>
      <c r="O46" s="44" t="s">
        <v>61</v>
      </c>
      <c r="P46" s="44" t="s">
        <v>62</v>
      </c>
    </row>
    <row r="47" spans="1:16" ht="12.75" customHeight="1" thickBot="1" x14ac:dyDescent="0.25">
      <c r="A47" s="12" t="str">
        <f t="shared" si="0"/>
        <v> VB 5.15 </v>
      </c>
      <c r="B47" s="4" t="str">
        <f t="shared" si="1"/>
        <v>I</v>
      </c>
      <c r="C47" s="12">
        <f t="shared" si="2"/>
        <v>36019.508999999998</v>
      </c>
      <c r="D47" s="17" t="str">
        <f t="shared" si="3"/>
        <v>vis</v>
      </c>
      <c r="E47" s="41">
        <f>VLOOKUP(C47,A!C$21:E$972,3,FALSE)</f>
        <v>1841.5228046753668</v>
      </c>
      <c r="F47" s="4" t="s">
        <v>55</v>
      </c>
      <c r="G47" s="17" t="str">
        <f t="shared" si="4"/>
        <v>36019.509</v>
      </c>
      <c r="H47" s="12">
        <f t="shared" si="5"/>
        <v>911</v>
      </c>
      <c r="I47" s="42" t="s">
        <v>148</v>
      </c>
      <c r="J47" s="43" t="s">
        <v>149</v>
      </c>
      <c r="K47" s="42">
        <v>911</v>
      </c>
      <c r="L47" s="42" t="s">
        <v>109</v>
      </c>
      <c r="M47" s="43" t="s">
        <v>60</v>
      </c>
      <c r="N47" s="43"/>
      <c r="O47" s="44" t="s">
        <v>61</v>
      </c>
      <c r="P47" s="44" t="s">
        <v>62</v>
      </c>
    </row>
    <row r="48" spans="1:16" ht="12.75" customHeight="1" thickBot="1" x14ac:dyDescent="0.25">
      <c r="A48" s="12" t="str">
        <f t="shared" si="0"/>
        <v> VB 5.15 </v>
      </c>
      <c r="B48" s="4" t="str">
        <f t="shared" si="1"/>
        <v>I</v>
      </c>
      <c r="C48" s="12">
        <f t="shared" si="2"/>
        <v>36130.419000000002</v>
      </c>
      <c r="D48" s="17" t="str">
        <f t="shared" si="3"/>
        <v>vis</v>
      </c>
      <c r="E48" s="41">
        <f>VLOOKUP(C48,A!C$21:E$972,3,FALSE)</f>
        <v>1861.6682968694661</v>
      </c>
      <c r="F48" s="4" t="s">
        <v>55</v>
      </c>
      <c r="G48" s="17" t="str">
        <f t="shared" si="4"/>
        <v>36130.419</v>
      </c>
      <c r="H48" s="12">
        <f t="shared" si="5"/>
        <v>921</v>
      </c>
      <c r="I48" s="42" t="s">
        <v>150</v>
      </c>
      <c r="J48" s="43" t="s">
        <v>151</v>
      </c>
      <c r="K48" s="42">
        <v>921</v>
      </c>
      <c r="L48" s="42" t="s">
        <v>152</v>
      </c>
      <c r="M48" s="43" t="s">
        <v>60</v>
      </c>
      <c r="N48" s="43"/>
      <c r="O48" s="44" t="s">
        <v>61</v>
      </c>
      <c r="P48" s="44" t="s">
        <v>62</v>
      </c>
    </row>
    <row r="49" spans="1:16" ht="12.75" customHeight="1" thickBot="1" x14ac:dyDescent="0.25">
      <c r="A49" s="12" t="str">
        <f t="shared" si="0"/>
        <v> VB 5.15 </v>
      </c>
      <c r="B49" s="4" t="str">
        <f t="shared" si="1"/>
        <v>I</v>
      </c>
      <c r="C49" s="12">
        <f t="shared" si="2"/>
        <v>36453.455000000002</v>
      </c>
      <c r="D49" s="17" t="str">
        <f t="shared" si="3"/>
        <v>vis</v>
      </c>
      <c r="E49" s="41">
        <f>VLOOKUP(C49,A!C$21:E$972,3,FALSE)</f>
        <v>1920.3439727905989</v>
      </c>
      <c r="F49" s="4" t="s">
        <v>55</v>
      </c>
      <c r="G49" s="17" t="str">
        <f t="shared" si="4"/>
        <v>36453.455</v>
      </c>
      <c r="H49" s="12">
        <f t="shared" si="5"/>
        <v>950</v>
      </c>
      <c r="I49" s="42" t="s">
        <v>153</v>
      </c>
      <c r="J49" s="43" t="s">
        <v>154</v>
      </c>
      <c r="K49" s="42">
        <v>950</v>
      </c>
      <c r="L49" s="42" t="s">
        <v>155</v>
      </c>
      <c r="M49" s="43" t="s">
        <v>60</v>
      </c>
      <c r="N49" s="43"/>
      <c r="O49" s="44" t="s">
        <v>61</v>
      </c>
      <c r="P49" s="44" t="s">
        <v>62</v>
      </c>
    </row>
    <row r="50" spans="1:16" ht="12.75" customHeight="1" thickBot="1" x14ac:dyDescent="0.25">
      <c r="A50" s="12" t="str">
        <f t="shared" si="0"/>
        <v> VB 5.15 </v>
      </c>
      <c r="B50" s="4" t="str">
        <f t="shared" si="1"/>
        <v>I</v>
      </c>
      <c r="C50" s="12">
        <f t="shared" si="2"/>
        <v>36820.472000000002</v>
      </c>
      <c r="D50" s="17" t="str">
        <f t="shared" si="3"/>
        <v>vis</v>
      </c>
      <c r="E50" s="41">
        <f>VLOOKUP(C50,A!C$21:E$972,3,FALSE)</f>
        <v>1987.0082781607321</v>
      </c>
      <c r="F50" s="4" t="s">
        <v>55</v>
      </c>
      <c r="G50" s="17" t="str">
        <f t="shared" si="4"/>
        <v>36820.472</v>
      </c>
      <c r="H50" s="12">
        <f t="shared" si="5"/>
        <v>983</v>
      </c>
      <c r="I50" s="42" t="s">
        <v>156</v>
      </c>
      <c r="J50" s="43" t="s">
        <v>157</v>
      </c>
      <c r="K50" s="42">
        <v>983</v>
      </c>
      <c r="L50" s="42" t="s">
        <v>158</v>
      </c>
      <c r="M50" s="43" t="s">
        <v>60</v>
      </c>
      <c r="N50" s="43"/>
      <c r="O50" s="44" t="s">
        <v>61</v>
      </c>
      <c r="P50" s="44" t="s">
        <v>62</v>
      </c>
    </row>
    <row r="51" spans="1:16" ht="12.75" customHeight="1" thickBot="1" x14ac:dyDescent="0.25">
      <c r="A51" s="12" t="str">
        <f t="shared" si="0"/>
        <v> VB 5.15 </v>
      </c>
      <c r="B51" s="4" t="str">
        <f t="shared" si="1"/>
        <v>I</v>
      </c>
      <c r="C51" s="12">
        <f t="shared" si="2"/>
        <v>36842.423999999999</v>
      </c>
      <c r="D51" s="17" t="str">
        <f t="shared" si="3"/>
        <v>vis</v>
      </c>
      <c r="E51" s="41">
        <f>VLOOKUP(C51,A!C$21:E$972,3,FALSE)</f>
        <v>1990.9955998147288</v>
      </c>
      <c r="F51" s="4" t="s">
        <v>55</v>
      </c>
      <c r="G51" s="17" t="str">
        <f t="shared" si="4"/>
        <v>36842.424</v>
      </c>
      <c r="H51" s="12">
        <f t="shared" si="5"/>
        <v>985</v>
      </c>
      <c r="I51" s="42" t="s">
        <v>159</v>
      </c>
      <c r="J51" s="43" t="s">
        <v>160</v>
      </c>
      <c r="K51" s="42">
        <v>985</v>
      </c>
      <c r="L51" s="42" t="s">
        <v>161</v>
      </c>
      <c r="M51" s="43" t="s">
        <v>60</v>
      </c>
      <c r="N51" s="43"/>
      <c r="O51" s="44" t="s">
        <v>61</v>
      </c>
      <c r="P51" s="44" t="s">
        <v>62</v>
      </c>
    </row>
    <row r="52" spans="1:16" ht="12.75" customHeight="1" thickBot="1" x14ac:dyDescent="0.25">
      <c r="A52" s="12" t="str">
        <f t="shared" si="0"/>
        <v> VB 5.15 </v>
      </c>
      <c r="B52" s="4" t="str">
        <f t="shared" si="1"/>
        <v>II</v>
      </c>
      <c r="C52" s="12">
        <f t="shared" si="2"/>
        <v>36848.375</v>
      </c>
      <c r="D52" s="17" t="str">
        <f t="shared" si="3"/>
        <v>vis</v>
      </c>
      <c r="E52" s="41">
        <f>VLOOKUP(C52,A!C$21:E$972,3,FALSE)</f>
        <v>1992.0765287124577</v>
      </c>
      <c r="F52" s="4" t="s">
        <v>55</v>
      </c>
      <c r="G52" s="17" t="str">
        <f t="shared" si="4"/>
        <v>36848.375</v>
      </c>
      <c r="H52" s="12">
        <f t="shared" si="5"/>
        <v>985.5</v>
      </c>
      <c r="I52" s="42" t="s">
        <v>162</v>
      </c>
      <c r="J52" s="43" t="s">
        <v>163</v>
      </c>
      <c r="K52" s="42">
        <v>985.5</v>
      </c>
      <c r="L52" s="42" t="s">
        <v>164</v>
      </c>
      <c r="M52" s="43" t="s">
        <v>60</v>
      </c>
      <c r="N52" s="43"/>
      <c r="O52" s="44" t="s">
        <v>61</v>
      </c>
      <c r="P52" s="44" t="s">
        <v>62</v>
      </c>
    </row>
    <row r="53" spans="1:16" ht="12.75" customHeight="1" thickBot="1" x14ac:dyDescent="0.25">
      <c r="A53" s="12" t="str">
        <f t="shared" si="0"/>
        <v> VB 5.15 </v>
      </c>
      <c r="B53" s="4" t="str">
        <f t="shared" si="1"/>
        <v>I</v>
      </c>
      <c r="C53" s="12">
        <f t="shared" si="2"/>
        <v>37577.385000000002</v>
      </c>
      <c r="D53" s="17" t="str">
        <f t="shared" si="3"/>
        <v>vis</v>
      </c>
      <c r="E53" s="41">
        <f>VLOOKUP(C53,A!C$21:E$972,3,FALSE)</f>
        <v>2124.4925891616494</v>
      </c>
      <c r="F53" s="4" t="s">
        <v>55</v>
      </c>
      <c r="G53" s="17" t="str">
        <f t="shared" si="4"/>
        <v>37577.385</v>
      </c>
      <c r="H53" s="12">
        <f t="shared" si="5"/>
        <v>1051</v>
      </c>
      <c r="I53" s="42" t="s">
        <v>165</v>
      </c>
      <c r="J53" s="43" t="s">
        <v>166</v>
      </c>
      <c r="K53" s="42">
        <v>1051</v>
      </c>
      <c r="L53" s="42" t="s">
        <v>167</v>
      </c>
      <c r="M53" s="43" t="s">
        <v>60</v>
      </c>
      <c r="N53" s="43"/>
      <c r="O53" s="44" t="s">
        <v>61</v>
      </c>
      <c r="P53" s="44" t="s">
        <v>62</v>
      </c>
    </row>
    <row r="54" spans="1:16" ht="12.75" customHeight="1" thickBot="1" x14ac:dyDescent="0.25">
      <c r="A54" s="12" t="str">
        <f t="shared" si="0"/>
        <v> VB 5.15 </v>
      </c>
      <c r="B54" s="4" t="str">
        <f t="shared" si="1"/>
        <v>I</v>
      </c>
      <c r="C54" s="12">
        <f t="shared" si="2"/>
        <v>37588.406000000003</v>
      </c>
      <c r="D54" s="17" t="str">
        <f t="shared" si="3"/>
        <v>vis</v>
      </c>
      <c r="E54" s="41">
        <f>VLOOKUP(C54,A!C$21:E$972,3,FALSE)</f>
        <v>2126.4944237074178</v>
      </c>
      <c r="F54" s="4" t="s">
        <v>55</v>
      </c>
      <c r="G54" s="17" t="str">
        <f t="shared" si="4"/>
        <v>37588.406</v>
      </c>
      <c r="H54" s="12">
        <f t="shared" si="5"/>
        <v>1052</v>
      </c>
      <c r="I54" s="42" t="s">
        <v>168</v>
      </c>
      <c r="J54" s="43" t="s">
        <v>169</v>
      </c>
      <c r="K54" s="42">
        <v>1052</v>
      </c>
      <c r="L54" s="42" t="s">
        <v>170</v>
      </c>
      <c r="M54" s="43" t="s">
        <v>60</v>
      </c>
      <c r="N54" s="43"/>
      <c r="O54" s="44" t="s">
        <v>171</v>
      </c>
      <c r="P54" s="44" t="s">
        <v>62</v>
      </c>
    </row>
    <row r="55" spans="1:16" ht="12.75" customHeight="1" thickBot="1" x14ac:dyDescent="0.25">
      <c r="A55" s="12" t="str">
        <f t="shared" si="0"/>
        <v>IBVS 5357 </v>
      </c>
      <c r="B55" s="4" t="str">
        <f t="shared" si="1"/>
        <v>II</v>
      </c>
      <c r="C55" s="12">
        <f t="shared" si="2"/>
        <v>52615.638899999998</v>
      </c>
      <c r="D55" s="17" t="str">
        <f t="shared" si="3"/>
        <v>vis</v>
      </c>
      <c r="E55" s="41" t="e">
        <f>VLOOKUP(C55,A!C$21:E$972,3,FALSE)</f>
        <v>#N/A</v>
      </c>
      <c r="F55" s="4" t="s">
        <v>55</v>
      </c>
      <c r="G55" s="17" t="str">
        <f t="shared" si="4"/>
        <v>52615.6389</v>
      </c>
      <c r="H55" s="12">
        <f t="shared" si="5"/>
        <v>2402.5</v>
      </c>
      <c r="I55" s="42" t="s">
        <v>193</v>
      </c>
      <c r="J55" s="43" t="s">
        <v>194</v>
      </c>
      <c r="K55" s="42">
        <v>2402.5</v>
      </c>
      <c r="L55" s="42" t="s">
        <v>195</v>
      </c>
      <c r="M55" s="43" t="s">
        <v>175</v>
      </c>
      <c r="N55" s="43" t="s">
        <v>176</v>
      </c>
      <c r="O55" s="44" t="s">
        <v>191</v>
      </c>
      <c r="P55" s="45" t="s">
        <v>192</v>
      </c>
    </row>
    <row r="56" spans="1:16" ht="12.75" customHeight="1" thickBot="1" x14ac:dyDescent="0.25">
      <c r="A56" s="12" t="str">
        <f t="shared" si="0"/>
        <v>BAVM 193 </v>
      </c>
      <c r="B56" s="4" t="str">
        <f t="shared" si="1"/>
        <v>I</v>
      </c>
      <c r="C56" s="12">
        <f t="shared" si="2"/>
        <v>54366.379099999998</v>
      </c>
      <c r="D56" s="17" t="str">
        <f t="shared" si="3"/>
        <v>vis</v>
      </c>
      <c r="E56" s="41">
        <f>VLOOKUP(C56,A!C$21:E$972,3,FALSE)</f>
        <v>5174.0151713302275</v>
      </c>
      <c r="F56" s="4" t="s">
        <v>55</v>
      </c>
      <c r="G56" s="17" t="str">
        <f t="shared" si="4"/>
        <v>54366.3791</v>
      </c>
      <c r="H56" s="12">
        <f t="shared" si="5"/>
        <v>2560</v>
      </c>
      <c r="I56" s="42" t="s">
        <v>196</v>
      </c>
      <c r="J56" s="43" t="s">
        <v>197</v>
      </c>
      <c r="K56" s="42">
        <v>2560</v>
      </c>
      <c r="L56" s="42" t="s">
        <v>198</v>
      </c>
      <c r="M56" s="43" t="s">
        <v>199</v>
      </c>
      <c r="N56" s="43" t="s">
        <v>200</v>
      </c>
      <c r="O56" s="44" t="s">
        <v>201</v>
      </c>
      <c r="P56" s="45" t="s">
        <v>202</v>
      </c>
    </row>
    <row r="57" spans="1:16" ht="12.75" customHeight="1" thickBot="1" x14ac:dyDescent="0.25">
      <c r="A57" s="12" t="str">
        <f t="shared" si="0"/>
        <v>VSB 48 </v>
      </c>
      <c r="B57" s="4" t="str">
        <f t="shared" si="1"/>
        <v>II</v>
      </c>
      <c r="C57" s="12">
        <f t="shared" si="2"/>
        <v>54470.984799999998</v>
      </c>
      <c r="D57" s="17" t="str">
        <f t="shared" si="3"/>
        <v>vis</v>
      </c>
      <c r="E57" s="41">
        <f>VLOOKUP(C57,A!C$21:E$972,3,FALSE)</f>
        <v>5193.0155618523459</v>
      </c>
      <c r="F57" s="4" t="s">
        <v>55</v>
      </c>
      <c r="G57" s="17" t="str">
        <f t="shared" si="4"/>
        <v>54470.9848</v>
      </c>
      <c r="H57" s="12">
        <f t="shared" si="5"/>
        <v>2569.5</v>
      </c>
      <c r="I57" s="42" t="s">
        <v>203</v>
      </c>
      <c r="J57" s="43" t="s">
        <v>204</v>
      </c>
      <c r="K57" s="42" t="s">
        <v>205</v>
      </c>
      <c r="L57" s="42" t="s">
        <v>206</v>
      </c>
      <c r="M57" s="43" t="s">
        <v>199</v>
      </c>
      <c r="N57" s="43" t="s">
        <v>55</v>
      </c>
      <c r="O57" s="44" t="s">
        <v>207</v>
      </c>
      <c r="P57" s="45" t="s">
        <v>208</v>
      </c>
    </row>
    <row r="58" spans="1:16" ht="12.75" customHeight="1" thickBot="1" x14ac:dyDescent="0.25">
      <c r="A58" s="12" t="str">
        <f t="shared" si="0"/>
        <v>BAVM 212 </v>
      </c>
      <c r="B58" s="4" t="str">
        <f t="shared" si="1"/>
        <v>I</v>
      </c>
      <c r="C58" s="12">
        <f t="shared" si="2"/>
        <v>55098.6057</v>
      </c>
      <c r="D58" s="17" t="str">
        <f t="shared" si="3"/>
        <v>vis</v>
      </c>
      <c r="E58" s="41">
        <f>VLOOKUP(C58,A!C$21:E$972,3,FALSE)</f>
        <v>5307.0154891970687</v>
      </c>
      <c r="F58" s="4" t="s">
        <v>55</v>
      </c>
      <c r="G58" s="17" t="str">
        <f t="shared" si="4"/>
        <v>55098.6057</v>
      </c>
      <c r="H58" s="12">
        <f t="shared" si="5"/>
        <v>2626</v>
      </c>
      <c r="I58" s="42" t="s">
        <v>216</v>
      </c>
      <c r="J58" s="43" t="s">
        <v>217</v>
      </c>
      <c r="K58" s="42" t="s">
        <v>218</v>
      </c>
      <c r="L58" s="42" t="s">
        <v>219</v>
      </c>
      <c r="M58" s="43" t="s">
        <v>199</v>
      </c>
      <c r="N58" s="43" t="s">
        <v>200</v>
      </c>
      <c r="O58" s="44" t="s">
        <v>201</v>
      </c>
      <c r="P58" s="45" t="s">
        <v>220</v>
      </c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</sheetData>
  <phoneticPr fontId="7" type="noConversion"/>
  <hyperlinks>
    <hyperlink ref="P12" r:id="rId1" display="http://www.konkoly.hu/cgi-bin/IBVS?5251"/>
    <hyperlink ref="P13" r:id="rId2" display="http://www.konkoly.hu/cgi-bin/IBVS?5251"/>
    <hyperlink ref="P14" r:id="rId3" display="http://www.konkoly.hu/cgi-bin/IBVS?5251"/>
    <hyperlink ref="P15" r:id="rId4" display="http://www.konkoly.hu/cgi-bin/IBVS?5251"/>
    <hyperlink ref="P16" r:id="rId5" display="http://www.konkoly.hu/cgi-bin/IBVS?5357"/>
    <hyperlink ref="P55" r:id="rId6" display="http://www.konkoly.hu/cgi-bin/IBVS?5357"/>
    <hyperlink ref="P56" r:id="rId7" display="http://www.bav-astro.de/sfs/BAVM_link.php?BAVMnr=193"/>
    <hyperlink ref="P57" r:id="rId8" display="http://vsolj.cetus-net.org/no48.pdf"/>
    <hyperlink ref="P17" r:id="rId9" display="http://www.konkoly.hu/cgi-bin/IBVS?5875"/>
    <hyperlink ref="P58" r:id="rId10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2024-01-19T06:16:48Z</dcterms:modified>
</cp:coreProperties>
</file>