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453DF17-26FB-4C41-A610-1AA2D0F85D4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U24" i="1"/>
  <c r="E21" i="1"/>
  <c r="F21" i="1"/>
  <c r="G21" i="1"/>
  <c r="E22" i="1"/>
  <c r="F22" i="1"/>
  <c r="G22" i="1"/>
  <c r="I22" i="1"/>
  <c r="E23" i="1"/>
  <c r="F23" i="1"/>
  <c r="G23" i="1"/>
  <c r="K23" i="1"/>
  <c r="Q24" i="1"/>
  <c r="I21" i="1"/>
  <c r="Q21" i="1"/>
  <c r="Q23" i="1"/>
  <c r="C9" i="1"/>
  <c r="D9" i="1"/>
  <c r="F16" i="1"/>
  <c r="F17" i="1" s="1"/>
  <c r="C17" i="1"/>
  <c r="Q22" i="1"/>
  <c r="C11" i="1"/>
  <c r="C12" i="1"/>
  <c r="C16" i="1" l="1"/>
  <c r="D18" i="1" s="1"/>
  <c r="O22" i="1"/>
  <c r="O23" i="1"/>
  <c r="O21" i="1"/>
  <c r="C15" i="1"/>
  <c r="F18" i="1" s="1"/>
  <c r="O24" i="1"/>
  <c r="C18" i="1" l="1"/>
  <c r="F19" i="1"/>
</calcChain>
</file>

<file path=xl/sharedStrings.xml><?xml version="1.0" encoding="utf-8"?>
<sst xmlns="http://schemas.openxmlformats.org/spreadsheetml/2006/main" count="61" uniqueCount="53">
  <si>
    <t>VSB-66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</si>
  <si>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</si>
  <si>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</si>
  <si>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</si>
  <si>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</si>
  <si>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</si>
  <si>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</si>
  <si>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</si>
  <si>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</si>
  <si>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</si>
  <si>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</si>
  <si>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</si>
  <si>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</si>
  <si>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</si>
  <si>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</si>
  <si>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</si>
  <si>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</si>
  <si>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</si>
  <si>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</si>
  <si>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</si>
  <si>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</si>
  <si>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</si>
  <si>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</si>
  <si>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</si>
  <si>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</si>
  <si>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</si>
  <si>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</si>
  <si>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</si>
  <si>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</si>
  <si>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</si>
  <si>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</si>
  <si>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</si>
  <si>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</si>
  <si>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</si>
  <si>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</si>
  <si>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</si>
  <si>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</si>
  <si>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</si>
  <si>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</si>
  <si>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</si>
  <si>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</si>
  <si>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</si>
  <si>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</si>
  <si>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V0443 Cas</t>
  </si>
  <si>
    <t>2013a</t>
  </si>
  <si>
    <t>EA</t>
  </si>
  <si>
    <t>pr_0</t>
  </si>
  <si>
    <t>V0443 Cas / GSC na</t>
  </si>
  <si>
    <t>BRNO</t>
  </si>
  <si>
    <t>GCVS</t>
  </si>
  <si>
    <t>VSB-64</t>
  </si>
  <si>
    <t>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</si>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</sst>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8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15" fillId="2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0" fillId="0" borderId="1" xfId="0" applyBorder="1" applyAlignment="1">
      <alignment horizontal="left"/>
    </xf>
    <xf numFmtId="0" fontId="16" fillId="3" borderId="1" xfId="0" applyFont="1" applyFill="1" applyBorder="1" applyAlignment="1">
      <alignment vertical="center"/>
    </xf>
    <xf numFmtId="0" fontId="19" fillId="0" borderId="0" xfId="0" applyFont="1" applyAlignment="1"/>
    <xf numFmtId="0" fontId="19" fillId="0" borderId="0" xfId="0" applyFont="1" applyBorder="1" applyAlignment="1">
      <alignment horizontal="center"/>
    </xf>
    <xf numFmtId="172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left" vertical="top"/>
    </xf>
    <xf numFmtId="0" fontId="17" fillId="0" borderId="0" xfId="7" applyFont="1" applyAlignment="1">
      <alignment horizontal="left"/>
    </xf>
    <xf numFmtId="0" fontId="17" fillId="0" borderId="0" xfId="7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_1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V0443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8168</c:v>
                </c:pt>
                <c:pt idx="2">
                  <c:v>10667</c:v>
                </c:pt>
                <c:pt idx="3">
                  <c:v>10792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8B-4DB0-A6C0-365E7935E7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8168</c:v>
                </c:pt>
                <c:pt idx="2">
                  <c:v>10667</c:v>
                </c:pt>
                <c:pt idx="3">
                  <c:v>10792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2.3920000021462329E-3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8B-4DB0-A6C0-365E7935E7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8168</c:v>
                </c:pt>
                <c:pt idx="2">
                  <c:v>10667</c:v>
                </c:pt>
                <c:pt idx="3">
                  <c:v>10792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8B-4DB0-A6C0-365E7935E7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8168</c:v>
                </c:pt>
                <c:pt idx="2">
                  <c:v>10667</c:v>
                </c:pt>
                <c:pt idx="3">
                  <c:v>10792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2.8547999994771089E-2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8B-4DB0-A6C0-365E7935E7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8168</c:v>
                </c:pt>
                <c:pt idx="2">
                  <c:v>10667</c:v>
                </c:pt>
                <c:pt idx="3">
                  <c:v>10792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8B-4DB0-A6C0-365E7935E7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8168</c:v>
                </c:pt>
                <c:pt idx="2">
                  <c:v>10667</c:v>
                </c:pt>
                <c:pt idx="3">
                  <c:v>10792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8B-4DB0-A6C0-365E7935E7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8168</c:v>
                </c:pt>
                <c:pt idx="2">
                  <c:v>10667</c:v>
                </c:pt>
                <c:pt idx="3">
                  <c:v>10792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8B-4DB0-A6C0-365E7935E7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8168</c:v>
                </c:pt>
                <c:pt idx="2">
                  <c:v>10667</c:v>
                </c:pt>
                <c:pt idx="3">
                  <c:v>10792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-2.7789270904778045E-3</c:v>
                </c:pt>
                <c:pt idx="1">
                  <c:v>1.4253870860140133E-2</c:v>
                </c:pt>
                <c:pt idx="2">
                  <c:v>1.9465056227254994E-2</c:v>
                </c:pt>
                <c:pt idx="3">
                  <c:v>1.9725719761024246E-2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8B-4DB0-A6C0-365E7935E7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8168</c:v>
                </c:pt>
                <c:pt idx="2">
                  <c:v>10667</c:v>
                </c:pt>
                <c:pt idx="3">
                  <c:v>10792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0.26044799995725043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8B-4DB0-A6C0-365E7935E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711792"/>
        <c:axId val="1"/>
      </c:scatterChart>
      <c:valAx>
        <c:axId val="610711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711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2CD7300-BD88-6387-0A5F-074B928DD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47</v>
      </c>
      <c r="F1" s="34" t="s">
        <v>43</v>
      </c>
      <c r="G1" s="30" t="s">
        <v>44</v>
      </c>
      <c r="H1" s="35"/>
      <c r="I1" s="36" t="s">
        <v>15</v>
      </c>
      <c r="J1" s="37" t="s">
        <v>43</v>
      </c>
      <c r="K1" s="38">
        <v>23.414400000000001</v>
      </c>
      <c r="L1" s="39">
        <v>51.313790000000004</v>
      </c>
      <c r="M1" s="40">
        <v>51338.639000000003</v>
      </c>
      <c r="N1" s="40">
        <v>2.6869559999999999</v>
      </c>
      <c r="O1" s="41" t="s">
        <v>45</v>
      </c>
      <c r="P1" s="42">
        <v>14.5</v>
      </c>
      <c r="Q1" s="42">
        <v>15.5</v>
      </c>
      <c r="R1" s="43" t="s">
        <v>46</v>
      </c>
    </row>
    <row r="2" spans="1:18" x14ac:dyDescent="0.2">
      <c r="A2" t="s">
        <v>25</v>
      </c>
      <c r="B2" t="s">
        <v>45</v>
      </c>
      <c r="C2" s="29"/>
      <c r="D2" s="3"/>
    </row>
    <row r="3" spans="1:18" ht="13.5" thickBot="1" x14ac:dyDescent="0.25"/>
    <row r="4" spans="1:18" ht="14.25" thickTop="1" thickBot="1" x14ac:dyDescent="0.25">
      <c r="A4" s="5" t="s">
        <v>2</v>
      </c>
      <c r="C4" s="26">
        <v>29391.58</v>
      </c>
      <c r="D4" s="27" t="s">
        <v>38</v>
      </c>
    </row>
    <row r="5" spans="1:18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8" x14ac:dyDescent="0.2">
      <c r="A6" s="5" t="s">
        <v>3</v>
      </c>
    </row>
    <row r="7" spans="1:18" x14ac:dyDescent="0.2">
      <c r="A7" t="s">
        <v>4</v>
      </c>
      <c r="C7" s="50">
        <v>29391.58</v>
      </c>
      <c r="D7" s="28" t="s">
        <v>49</v>
      </c>
    </row>
    <row r="8" spans="1:18" x14ac:dyDescent="0.2">
      <c r="A8" t="s">
        <v>5</v>
      </c>
      <c r="C8" s="50">
        <v>2.6869559999999999</v>
      </c>
      <c r="D8" s="28" t="s">
        <v>48</v>
      </c>
    </row>
    <row r="9" spans="1:18" x14ac:dyDescent="0.2">
      <c r="A9" s="24" t="s">
        <v>34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8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8" x14ac:dyDescent="0.2">
      <c r="A11" s="10" t="s">
        <v>17</v>
      </c>
      <c r="B11" s="10"/>
      <c r="C11" s="21">
        <f ca="1">INTERCEPT(INDIRECT($D$9):G992,INDIRECT($C$9):F992)</f>
        <v>-2.7789270904778045E-3</v>
      </c>
      <c r="D11" s="3"/>
      <c r="E11" s="10"/>
    </row>
    <row r="12" spans="1:18" x14ac:dyDescent="0.2">
      <c r="A12" s="10" t="s">
        <v>18</v>
      </c>
      <c r="B12" s="10"/>
      <c r="C12" s="21">
        <f ca="1">SLOPE(INDIRECT($D$9):G992,INDIRECT($C$9):F992)</f>
        <v>2.0853082701540078E-6</v>
      </c>
      <c r="D12" s="3"/>
      <c r="E12" s="10"/>
    </row>
    <row r="13" spans="1:18" x14ac:dyDescent="0.2">
      <c r="A13" s="10" t="s">
        <v>20</v>
      </c>
      <c r="B13" s="10"/>
      <c r="C13" s="3" t="s">
        <v>15</v>
      </c>
    </row>
    <row r="14" spans="1:18" x14ac:dyDescent="0.2">
      <c r="A14" s="10"/>
      <c r="B14" s="10"/>
      <c r="C14" s="10"/>
    </row>
    <row r="15" spans="1:18" x14ac:dyDescent="0.2">
      <c r="A15" s="12" t="s">
        <v>19</v>
      </c>
      <c r="B15" s="10"/>
      <c r="C15" s="13">
        <f ca="1">(C7+C11)+(C8+C12)*INT(MAX(F21:F3533))</f>
        <v>58389.228877719761</v>
      </c>
      <c r="E15" s="14" t="s">
        <v>35</v>
      </c>
      <c r="F15" s="31">
        <v>1</v>
      </c>
    </row>
    <row r="16" spans="1:18" x14ac:dyDescent="0.2">
      <c r="A16" s="16" t="s">
        <v>6</v>
      </c>
      <c r="B16" s="10"/>
      <c r="C16" s="17">
        <f ca="1">+C8+C12</f>
        <v>2.68695808530827</v>
      </c>
      <c r="E16" s="14" t="s">
        <v>32</v>
      </c>
      <c r="F16" s="32">
        <f ca="1">NOW()+15018.5+$C$5/24</f>
        <v>60328.812047106476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36</v>
      </c>
      <c r="F17" s="15">
        <f ca="1">ROUND(2*(F16-$C$7)/$C$8,0)/2+F15</f>
        <v>11515</v>
      </c>
    </row>
    <row r="18" spans="1:21" ht="14.25" thickTop="1" thickBot="1" x14ac:dyDescent="0.25">
      <c r="A18" s="16" t="s">
        <v>7</v>
      </c>
      <c r="B18" s="10"/>
      <c r="C18" s="19">
        <f ca="1">+C15</f>
        <v>58389.228877719761</v>
      </c>
      <c r="D18" s="20">
        <f ca="1">+C16</f>
        <v>2.68695808530827</v>
      </c>
      <c r="E18" s="14" t="s">
        <v>37</v>
      </c>
      <c r="F18" s="23">
        <f ca="1">ROUND(2*(F16-$C$15)/$C$16,0)/2+F15</f>
        <v>723</v>
      </c>
    </row>
    <row r="19" spans="1:21" ht="13.5" thickTop="1" x14ac:dyDescent="0.2">
      <c r="E19" s="14" t="s">
        <v>33</v>
      </c>
      <c r="F19" s="18">
        <f ca="1">+$C$15+$C$16*F18-15018.5-$C$5/24</f>
        <v>45313.795406730977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1</v>
      </c>
    </row>
    <row r="21" spans="1:21" x14ac:dyDescent="0.2">
      <c r="A21" t="s">
        <v>49</v>
      </c>
      <c r="C21" s="8">
        <v>29391.58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-2.7789270904778045E-3</v>
      </c>
      <c r="Q21" s="2">
        <f>+C21-15018.5</f>
        <v>14373.080000000002</v>
      </c>
    </row>
    <row r="22" spans="1:21" x14ac:dyDescent="0.2">
      <c r="A22" t="s">
        <v>48</v>
      </c>
      <c r="C22" s="8">
        <v>51338.639000000003</v>
      </c>
      <c r="D22" s="8" t="s">
        <v>15</v>
      </c>
      <c r="E22">
        <f>+(C22-C$7)/C$8</f>
        <v>8168.0008902267109</v>
      </c>
      <c r="F22">
        <f>ROUND(2*E22,0)/2</f>
        <v>8168</v>
      </c>
      <c r="G22">
        <f>+C22-(C$7+F22*C$8)</f>
        <v>2.3920000021462329E-3</v>
      </c>
      <c r="I22">
        <f>+G22</f>
        <v>2.3920000021462329E-3</v>
      </c>
      <c r="O22">
        <f ca="1">+C$11+C$12*$F22</f>
        <v>1.4253870860140133E-2</v>
      </c>
      <c r="Q22" s="2">
        <f>+C22-15018.5</f>
        <v>36320.139000000003</v>
      </c>
    </row>
    <row r="23" spans="1:21" x14ac:dyDescent="0.2">
      <c r="A23" s="44" t="s">
        <v>50</v>
      </c>
      <c r="B23" s="45" t="s">
        <v>51</v>
      </c>
      <c r="C23" s="46">
        <v>58053.368199999997</v>
      </c>
      <c r="D23" s="47" t="s">
        <v>52</v>
      </c>
      <c r="E23">
        <f>+(C23-C$7)/C$8</f>
        <v>10667.010624662256</v>
      </c>
      <c r="F23">
        <f>ROUND(2*E23,0)/2</f>
        <v>10667</v>
      </c>
      <c r="G23">
        <f>+C23-(C$7+F23*C$8)</f>
        <v>2.8547999994771089E-2</v>
      </c>
      <c r="K23">
        <f>+G23</f>
        <v>2.8547999994771089E-2</v>
      </c>
      <c r="O23">
        <f ca="1">+C$11+C$12*$F23</f>
        <v>1.9465056227254994E-2</v>
      </c>
      <c r="Q23" s="2">
        <f>+C23-15018.5</f>
        <v>43034.868199999997</v>
      </c>
    </row>
    <row r="24" spans="1:21" x14ac:dyDescent="0.2">
      <c r="A24" s="48" t="s">
        <v>0</v>
      </c>
      <c r="B24" s="49" t="s">
        <v>51</v>
      </c>
      <c r="C24" s="48">
        <v>58389.469599999953</v>
      </c>
      <c r="D24" s="48" t="s">
        <v>15</v>
      </c>
      <c r="E24">
        <f>+(C24-C$7)/C$8</f>
        <v>10792.09693050424</v>
      </c>
      <c r="F24">
        <f>ROUND(2*E24,0)/2</f>
        <v>10792</v>
      </c>
      <c r="O24">
        <f ca="1">+C$11+C$12*$F24</f>
        <v>1.9725719761024246E-2</v>
      </c>
      <c r="Q24" s="2">
        <f>+C24-15018.5</f>
        <v>43370.969599999953</v>
      </c>
      <c r="U24">
        <f>+C24-(C$7+F24*C$8)</f>
        <v>0.26044799995725043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682" r:id="rId1" display="http://vsolj.cetus-net.org/bulletin.html"/>
    <hyperlink ref="H64675" r:id="rId2" display="https://www.aavso.org/ejaavso"/>
    <hyperlink ref="I64682" r:id="rId3" display="http://vsolj.cetus-net.org/bulletin.html"/>
    <hyperlink ref="AQ58333" r:id="rId4" display="http://cdsbib.u-strasbg.fr/cgi-bin/cdsbib?1990RMxAA..21..381G"/>
    <hyperlink ref="H64679" r:id="rId5" display="https://www.aavso.org/ejaavso"/>
    <hyperlink ref="AP5697" r:id="rId6" display="http://cdsbib.u-strasbg.fr/cgi-bin/cdsbib?1990RMxAA..21..381G"/>
    <hyperlink ref="AP5700" r:id="rId7" display="http://cdsbib.u-strasbg.fr/cgi-bin/cdsbib?1990RMxAA..21..381G"/>
    <hyperlink ref="AP5698" r:id="rId8" display="http://cdsbib.u-strasbg.fr/cgi-bin/cdsbib?1990RMxAA..21..381G"/>
    <hyperlink ref="AP5682" r:id="rId9" display="http://cdsbib.u-strasbg.fr/cgi-bin/cdsbib?1990RMxAA..21..381G"/>
    <hyperlink ref="AQ5911" r:id="rId10" display="http://cdsbib.u-strasbg.fr/cgi-bin/cdsbib?1990RMxAA..21..381G"/>
    <hyperlink ref="AQ5915" r:id="rId11" display="http://cdsbib.u-strasbg.fr/cgi-bin/cdsbib?1990RMxAA..21..381G"/>
    <hyperlink ref="AQ59" r:id="rId12" display="http://cdsbib.u-strasbg.fr/cgi-bin/cdsbib?1990RMxAA..21..381G"/>
    <hyperlink ref="I2803" r:id="rId13" display="http://vsolj.cetus-net.org/bulletin.html"/>
    <hyperlink ref="H2803" r:id="rId14" display="http://vsolj.cetus-net.org/bulletin.html"/>
    <hyperlink ref="AQ720" r:id="rId15" display="http://cdsbib.u-strasbg.fr/cgi-bin/cdsbib?1990RMxAA..21..381G"/>
    <hyperlink ref="AQ719" r:id="rId16" display="http://cdsbib.u-strasbg.fr/cgi-bin/cdsbib?1990RMxAA..21..381G"/>
    <hyperlink ref="AP3973" r:id="rId17" display="http://cdsbib.u-strasbg.fr/cgi-bin/cdsbib?1990RMxAA..21..381G"/>
    <hyperlink ref="AP3991" r:id="rId18" display="http://cdsbib.u-strasbg.fr/cgi-bin/cdsbib?1990RMxAA..21..381G"/>
    <hyperlink ref="AP3992" r:id="rId19" display="http://cdsbib.u-strasbg.fr/cgi-bin/cdsbib?1990RMxAA..21..381G"/>
    <hyperlink ref="AP398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2024-01-19T06:29:20Z</dcterms:modified>
</cp:coreProperties>
</file>