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D436617-2961-4AAE-BD99-408936D899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2" i="1"/>
  <c r="Q23" i="1"/>
  <c r="C9" i="1"/>
  <c r="D9" i="1"/>
  <c r="A21" i="1"/>
  <c r="F16" i="1"/>
  <c r="F17" i="1" s="1"/>
  <c r="E24" i="1"/>
  <c r="F24" i="1" s="1"/>
  <c r="G24" i="1" s="1"/>
  <c r="K24" i="1" s="1"/>
  <c r="C21" i="1"/>
  <c r="E22" i="1"/>
  <c r="F22" i="1"/>
  <c r="G22" i="1" s="1"/>
  <c r="I22" i="1" s="1"/>
  <c r="E23" i="1"/>
  <c r="F23" i="1"/>
  <c r="G23" i="1" s="1"/>
  <c r="K23" i="1" s="1"/>
  <c r="C17" i="1"/>
  <c r="E21" i="1"/>
  <c r="F21" i="1"/>
  <c r="G21" i="1"/>
  <c r="I21" i="1" s="1"/>
  <c r="Q21" i="1"/>
  <c r="C12" i="1"/>
  <c r="C11" i="1"/>
  <c r="O23" i="1" l="1"/>
  <c r="C15" i="1"/>
  <c r="F18" i="1" s="1"/>
  <c r="O24" i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<sst xmlns="http://schemas.openxmlformats.org/spreadsheetml/2006/main" count="63" uniqueCount="57">
  <si>
    <t>VSB-66</t>
  </si>
  <si>
    <t>I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</si>
  <si>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</si>
  <si>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</si>
  <si>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</si>
  <si>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</si>
  <si>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</si>
  <si>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</si>
  <si>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</si>
  <si>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</si>
  <si>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</si>
  <si>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</si>
  <si>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</si>
  <si>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</si>
  <si>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</si>
  <si>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</si>
  <si>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</si>
  <si>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</si>
  <si>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</si>
  <si>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</si>
  <si>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</si>
  <si>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</si>
  <si>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</si>
  <si>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</si>
  <si>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</si>
  <si>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</si>
  <si>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</si>
  <si>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</si>
  <si>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</si>
  <si>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</si>
  <si>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</si>
  <si>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</si>
  <si>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</si>
  <si>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</si>
  <si>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</si>
  <si>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</si>
  <si>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</si>
  <si>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</si>
  <si>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</si>
  <si>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</si>
  <si>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</si>
  <si>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</si>
  <si>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</si>
  <si>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</si>
  <si>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</si>
  <si>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V0464 Cas</t>
  </si>
  <si>
    <t>2018H</t>
  </si>
  <si>
    <t>E</t>
  </si>
  <si>
    <t>pr_0</t>
  </si>
  <si>
    <t>~</t>
  </si>
  <si>
    <t>V0464</t>
  </si>
  <si>
    <t>V0464 Cas / GSC na</t>
  </si>
  <si>
    <t>GCVS</t>
  </si>
  <si>
    <t>VSX</t>
  </si>
  <si>
    <t>VSB-64</t>
  </si>
  <si>
    <t>II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</si>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</sst>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6" xfId="0" applyFont="1" applyBorder="1">
      <alignment vertical="top"/>
    </xf>
    <xf numFmtId="0" fontId="16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left"/>
    </xf>
    <xf numFmtId="0" fontId="16" fillId="3" borderId="1" xfId="0" applyFont="1" applyFill="1" applyBorder="1">
      <alignment vertical="top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172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8" fillId="0" borderId="0" xfId="7" applyFo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V0464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79-46A6-BDD7-3E59E63D62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4.8584999967715703E-3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9-46A6-BDD7-3E59E63D62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79-46A6-BDD7-3E59E63D62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1.1316750002151821E-2</c:v>
                </c:pt>
                <c:pt idx="3">
                  <c:v>1.6381999914301559E-2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79-46A6-BDD7-3E59E63D62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79-46A6-BDD7-3E59E63D62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79-46A6-BDD7-3E59E63D62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79-46A6-BDD7-3E59E63D62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-3.3304248648236175E-4</c:v>
                </c:pt>
                <c:pt idx="1">
                  <c:v>1.0575000784342391E-2</c:v>
                </c:pt>
                <c:pt idx="2">
                  <c:v>1.105557083075507E-2</c:v>
                </c:pt>
                <c:pt idx="3">
                  <c:v>1.125972078460985E-2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79-46A6-BDD7-3E59E63D62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10339</c:v>
                </c:pt>
                <c:pt idx="2">
                  <c:v>10794.5</c:v>
                </c:pt>
                <c:pt idx="3">
                  <c:v>10988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79-46A6-BDD7-3E59E63D6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797520"/>
        <c:axId val="1"/>
      </c:scatterChart>
      <c:valAx>
        <c:axId val="78679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55889724310776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79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739FB2F-AD56-50CC-D687-50A88240B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51</v>
      </c>
      <c r="F1" s="33" t="s">
        <v>45</v>
      </c>
      <c r="G1" s="34" t="s">
        <v>46</v>
      </c>
      <c r="H1" s="35"/>
      <c r="I1" s="36" t="e">
        <v>#N/A</v>
      </c>
      <c r="J1" s="37" t="s">
        <v>45</v>
      </c>
      <c r="K1" s="38">
        <v>1.1750799999999999</v>
      </c>
      <c r="L1" s="39">
        <v>56.490400000000001</v>
      </c>
      <c r="M1" s="40">
        <v>40145.47</v>
      </c>
      <c r="N1" s="40">
        <v>1.6633484999999999</v>
      </c>
      <c r="O1" s="41" t="s">
        <v>47</v>
      </c>
      <c r="P1" s="42">
        <v>14.85</v>
      </c>
      <c r="Q1" s="42">
        <v>15.63</v>
      </c>
      <c r="R1" s="43" t="s">
        <v>48</v>
      </c>
      <c r="S1" s="41" t="s">
        <v>49</v>
      </c>
      <c r="T1" s="42" t="s">
        <v>50</v>
      </c>
    </row>
    <row r="2" spans="1:20" x14ac:dyDescent="0.2">
      <c r="A2" t="s">
        <v>26</v>
      </c>
      <c r="B2" t="s">
        <v>47</v>
      </c>
      <c r="C2" s="29"/>
      <c r="D2" s="3"/>
    </row>
    <row r="3" spans="1:20" ht="13.5" thickBot="1" x14ac:dyDescent="0.25"/>
    <row r="4" spans="1:20" ht="14.25" thickTop="1" thickBot="1" x14ac:dyDescent="0.25">
      <c r="A4" s="5" t="s">
        <v>3</v>
      </c>
      <c r="C4" s="26" t="s">
        <v>40</v>
      </c>
      <c r="D4" s="27" t="s">
        <v>40</v>
      </c>
    </row>
    <row r="5" spans="1:20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0" x14ac:dyDescent="0.2">
      <c r="A6" s="5" t="s">
        <v>4</v>
      </c>
    </row>
    <row r="7" spans="1:20" x14ac:dyDescent="0.2">
      <c r="A7" t="s">
        <v>5</v>
      </c>
      <c r="C7" s="8">
        <v>40145.47</v>
      </c>
      <c r="D7" s="28" t="s">
        <v>52</v>
      </c>
    </row>
    <row r="8" spans="1:20" x14ac:dyDescent="0.2">
      <c r="A8" t="s">
        <v>6</v>
      </c>
      <c r="C8" s="8">
        <v>1.6633484999999999</v>
      </c>
      <c r="D8" s="28" t="s">
        <v>53</v>
      </c>
    </row>
    <row r="9" spans="1:20" x14ac:dyDescent="0.2">
      <c r="A9" s="24" t="s">
        <v>35</v>
      </c>
      <c r="B9" s="32">
        <v>21</v>
      </c>
      <c r="C9" s="22" t="str">
        <f>"F"&amp;B9</f>
        <v>F21</v>
      </c>
      <c r="D9" s="23" t="str">
        <f>"G"&amp;B9</f>
        <v>G21</v>
      </c>
    </row>
    <row r="10" spans="1:20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0" x14ac:dyDescent="0.2">
      <c r="A11" s="10" t="s">
        <v>18</v>
      </c>
      <c r="B11" s="10"/>
      <c r="C11" s="21">
        <f ca="1">INTERCEPT(INDIRECT($D$9):G992,INDIRECT($C$9):F992)</f>
        <v>-3.3304248648236175E-4</v>
      </c>
      <c r="D11" s="3"/>
      <c r="E11" s="10"/>
    </row>
    <row r="12" spans="1:20" x14ac:dyDescent="0.2">
      <c r="A12" s="10" t="s">
        <v>19</v>
      </c>
      <c r="B12" s="10"/>
      <c r="C12" s="21">
        <f ca="1">SLOPE(INDIRECT($D$9):G992,INDIRECT($C$9):F992)</f>
        <v>1.055038521213343E-6</v>
      </c>
      <c r="D12" s="3"/>
      <c r="E12" s="10"/>
    </row>
    <row r="13" spans="1:20" x14ac:dyDescent="0.2">
      <c r="A13" s="10" t="s">
        <v>21</v>
      </c>
      <c r="B13" s="10"/>
      <c r="C13" s="3" t="s">
        <v>16</v>
      </c>
    </row>
    <row r="14" spans="1:20" x14ac:dyDescent="0.2">
      <c r="A14" s="10"/>
      <c r="B14" s="10"/>
      <c r="C14" s="10"/>
    </row>
    <row r="15" spans="1:20" x14ac:dyDescent="0.2">
      <c r="A15" s="12" t="s">
        <v>20</v>
      </c>
      <c r="B15" s="10"/>
      <c r="C15" s="13">
        <f ca="1">(C7+C11)+(C8+C12)*INT(MAX(F21:F3533))</f>
        <v>58422.354577720784</v>
      </c>
      <c r="E15" s="14" t="s">
        <v>37</v>
      </c>
      <c r="F15" s="30">
        <v>1</v>
      </c>
    </row>
    <row r="16" spans="1:20" x14ac:dyDescent="0.2">
      <c r="A16" s="16" t="s">
        <v>7</v>
      </c>
      <c r="B16" s="10"/>
      <c r="C16" s="17">
        <f ca="1">+C8+C12</f>
        <v>1.6633495550385211</v>
      </c>
      <c r="E16" s="14" t="s">
        <v>33</v>
      </c>
      <c r="F16" s="31">
        <f ca="1">NOW()+15018.5+$C$5/24</f>
        <v>60329.684954745368</v>
      </c>
    </row>
    <row r="17" spans="1:21" ht="13.5" thickBot="1" x14ac:dyDescent="0.25">
      <c r="A17" s="14" t="s">
        <v>30</v>
      </c>
      <c r="B17" s="10"/>
      <c r="C17" s="10">
        <f>COUNT(C21:C2191)</f>
        <v>4</v>
      </c>
      <c r="E17" s="14" t="s">
        <v>38</v>
      </c>
      <c r="F17" s="15">
        <f ca="1">ROUND(2*(F16-$C$7)/$C$8,0)/2+F15</f>
        <v>12135.5</v>
      </c>
    </row>
    <row r="18" spans="1:21" ht="14.25" thickTop="1" thickBot="1" x14ac:dyDescent="0.25">
      <c r="A18" s="16" t="s">
        <v>8</v>
      </c>
      <c r="B18" s="10"/>
      <c r="C18" s="19">
        <f ca="1">+C15</f>
        <v>58422.354577720784</v>
      </c>
      <c r="D18" s="20">
        <f ca="1">+C16</f>
        <v>1.6633495550385211</v>
      </c>
      <c r="E18" s="14" t="s">
        <v>39</v>
      </c>
      <c r="F18" s="23">
        <f ca="1">ROUND(2*(F16-$C$15)/$C$16,0)/2+F15</f>
        <v>1147.5</v>
      </c>
    </row>
    <row r="19" spans="1:21" ht="13.5" thickTop="1" x14ac:dyDescent="0.2">
      <c r="E19" s="14" t="s">
        <v>34</v>
      </c>
      <c r="F19" s="18">
        <f ca="1">+$C$15+$C$16*F18-15018.5-$C$5/24</f>
        <v>45312.94402546082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tr">
        <f>D7</f>
        <v>GCVS</v>
      </c>
      <c r="C21" s="8">
        <f>C$7</f>
        <v>40145.47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-3.3304248648236175E-4</v>
      </c>
      <c r="Q21" s="2">
        <f>+C21-15018.5</f>
        <v>25126.97</v>
      </c>
    </row>
    <row r="22" spans="1:21" x14ac:dyDescent="0.2">
      <c r="A22" s="50" t="s">
        <v>2</v>
      </c>
      <c r="B22" s="48" t="s">
        <v>55</v>
      </c>
      <c r="C22" s="49">
        <v>57342.834999999999</v>
      </c>
      <c r="D22" s="49">
        <v>0.02</v>
      </c>
      <c r="E22">
        <f>+(C22-C$7)/C$8</f>
        <v>10339.002920915249</v>
      </c>
      <c r="F22">
        <f>ROUND(2*E22,0)/2</f>
        <v>10339</v>
      </c>
      <c r="G22">
        <f>+C22-(C$7+F22*C$8)</f>
        <v>4.8584999967715703E-3</v>
      </c>
      <c r="I22">
        <f>+G22</f>
        <v>4.8584999967715703E-3</v>
      </c>
      <c r="O22">
        <f ca="1">+C$11+C$12*$F22</f>
        <v>1.0575000784342391E-2</v>
      </c>
      <c r="Q22" s="2">
        <f>+C22-15018.5</f>
        <v>42324.334999999999</v>
      </c>
    </row>
    <row r="23" spans="1:21" x14ac:dyDescent="0.2">
      <c r="A23" s="44" t="s">
        <v>54</v>
      </c>
      <c r="B23" s="45" t="s">
        <v>55</v>
      </c>
      <c r="C23" s="46">
        <v>58100.496700000003</v>
      </c>
      <c r="D23" s="47" t="s">
        <v>56</v>
      </c>
      <c r="E23">
        <f>+(C23-C$7)/C$8</f>
        <v>10794.506803595279</v>
      </c>
      <c r="F23">
        <f>ROUND(2*E23,0)/2</f>
        <v>10794.5</v>
      </c>
      <c r="G23">
        <f>+C23-(C$7+F23*C$8)</f>
        <v>1.1316750002151821E-2</v>
      </c>
      <c r="K23">
        <f>+G23</f>
        <v>1.1316750002151821E-2</v>
      </c>
      <c r="O23">
        <f ca="1">+C$11+C$12*$F23</f>
        <v>1.105557083075507E-2</v>
      </c>
      <c r="Q23" s="2">
        <f>+C23-15018.5</f>
        <v>43081.996700000003</v>
      </c>
    </row>
    <row r="24" spans="1:21" x14ac:dyDescent="0.2">
      <c r="A24" s="49" t="s">
        <v>0</v>
      </c>
      <c r="B24" s="48" t="s">
        <v>1</v>
      </c>
      <c r="C24" s="49">
        <v>58422.359699999914</v>
      </c>
      <c r="D24" s="49" t="s">
        <v>16</v>
      </c>
      <c r="E24">
        <f>+(C24-C$7)/C$8</f>
        <v>10988.00984880794</v>
      </c>
      <c r="F24">
        <f>ROUND(2*E24,0)/2</f>
        <v>10988</v>
      </c>
      <c r="G24">
        <f>+C24-(C$7+F24*C$8)</f>
        <v>1.6381999914301559E-2</v>
      </c>
      <c r="K24">
        <f>+G24</f>
        <v>1.6381999914301559E-2</v>
      </c>
      <c r="O24">
        <f ca="1">+C$11+C$12*$F24</f>
        <v>1.125972078460985E-2</v>
      </c>
      <c r="Q24" s="2">
        <f>+C24-15018.5</f>
        <v>43403.859699999914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66" r:id="rId1" display="http://vsolj.cetus-net.org/bulletin.html"/>
    <hyperlink ref="H64559" r:id="rId2" display="https://www.aavso.org/ejaavso"/>
    <hyperlink ref="AP1417" r:id="rId3" display="http://cdsbib.u-strasbg.fr/cgi-bin/cdsbib?1990RMxAA..21..381G"/>
    <hyperlink ref="AP1414" r:id="rId4" display="http://cdsbib.u-strasbg.fr/cgi-bin/cdsbib?1990RMxAA..21..381G"/>
    <hyperlink ref="AP1416" r:id="rId5" display="http://cdsbib.u-strasbg.fr/cgi-bin/cdsbib?1990RMxAA..21..381G"/>
    <hyperlink ref="AP1392" r:id="rId6" display="http://cdsbib.u-strasbg.fr/cgi-bin/cdsbib?1990RMxAA..21..381G"/>
    <hyperlink ref="I64566" r:id="rId7" display="http://vsolj.cetus-net.org/bulletin.html"/>
    <hyperlink ref="AQ1553" r:id="rId8" display="http://cdsbib.u-strasbg.fr/cgi-bin/cdsbib?1990RMxAA..21..381G"/>
    <hyperlink ref="AQ3197" r:id="rId9" display="http://cdsbib.u-strasbg.fr/cgi-bin/cdsbib?1990RMxAA..21..381G"/>
    <hyperlink ref="AQ1554" r:id="rId10" display="http://cdsbib.u-strasbg.fr/cgi-bin/cdsbib?1990RMxAA..21..381G"/>
    <hyperlink ref="H64563" r:id="rId11" display="https://www.aavso.org/ejaavso"/>
    <hyperlink ref="H2404" r:id="rId12" display="http://vsolj.cetus-net.org/bulletin.html"/>
    <hyperlink ref="AP5642" r:id="rId13" display="http://cdsbib.u-strasbg.fr/cgi-bin/cdsbib?1990RMxAA..21..381G"/>
    <hyperlink ref="AP5645" r:id="rId14" display="http://cdsbib.u-strasbg.fr/cgi-bin/cdsbib?1990RMxAA..21..381G"/>
    <hyperlink ref="AP5643" r:id="rId15" display="http://cdsbib.u-strasbg.fr/cgi-bin/cdsbib?1990RMxAA..21..381G"/>
    <hyperlink ref="AP5621" r:id="rId16" display="http://cdsbib.u-strasbg.fr/cgi-bin/cdsbib?1990RMxAA..21..381G"/>
    <hyperlink ref="I2404" r:id="rId17" display="http://vsolj.cetus-net.org/bulletin.html"/>
    <hyperlink ref="AQ5755" r:id="rId18" display="http://cdsbib.u-strasbg.fr/cgi-bin/cdsbib?1990RMxAA..21..381G"/>
    <hyperlink ref="AQ307" r:id="rId19" display="http://cdsbib.u-strasbg.fr/cgi-bin/cdsbib?1990RMxAA..21..381G"/>
    <hyperlink ref="AQ5756" r:id="rId20" display="http://cdsbib.u-strasbg.fr/cgi-bin/cdsbib?1990RMxAA..21..381G"/>
    <hyperlink ref="H64680" r:id="rId21" display="http://vsolj.cetus-net.org/bulletin.html"/>
    <hyperlink ref="H64673" r:id="rId22" display="https://www.aavso.org/ejaavso"/>
    <hyperlink ref="I64680" r:id="rId23" display="http://vsolj.cetus-net.org/bulletin.html"/>
    <hyperlink ref="AQ58331" r:id="rId24" display="http://cdsbib.u-strasbg.fr/cgi-bin/cdsbib?1990RMxAA..21..381G"/>
    <hyperlink ref="H64677" r:id="rId25" display="https://www.aavso.org/ejaavso"/>
    <hyperlink ref="AP5695" r:id="rId26" display="http://cdsbib.u-strasbg.fr/cgi-bin/cdsbib?1990RMxAA..21..381G"/>
    <hyperlink ref="AP5698" r:id="rId27" display="http://cdsbib.u-strasbg.fr/cgi-bin/cdsbib?1990RMxAA..21..381G"/>
    <hyperlink ref="AP5696" r:id="rId28" display="http://cdsbib.u-strasbg.fr/cgi-bin/cdsbib?1990RMxAA..21..381G"/>
    <hyperlink ref="AP5680" r:id="rId29" display="http://cdsbib.u-strasbg.fr/cgi-bin/cdsbib?1990RMxAA..21..381G"/>
    <hyperlink ref="AQ5909" r:id="rId30" display="http://cdsbib.u-strasbg.fr/cgi-bin/cdsbib?1990RMxAA..21..381G"/>
    <hyperlink ref="AQ5913" r:id="rId31" display="http://cdsbib.u-strasbg.fr/cgi-bin/cdsbib?1990RMxAA..21..381G"/>
    <hyperlink ref="AQ57" r:id="rId32" display="http://cdsbib.u-strasbg.fr/cgi-bin/cdsbib?1990RMxAA..21..381G"/>
    <hyperlink ref="I2801" r:id="rId33" display="http://vsolj.cetus-net.org/bulletin.html"/>
    <hyperlink ref="H2801" r:id="rId34" display="http://vsolj.cetus-net.org/bulletin.html"/>
    <hyperlink ref="AQ718" r:id="rId35" display="http://cdsbib.u-strasbg.fr/cgi-bin/cdsbib?1990RMxAA..21..381G"/>
    <hyperlink ref="AQ717" r:id="rId36" display="http://cdsbib.u-strasbg.fr/cgi-bin/cdsbib?1990RMxAA..21..381G"/>
    <hyperlink ref="AP3971" r:id="rId37" display="http://cdsbib.u-strasbg.fr/cgi-bin/cdsbib?1990RMxAA..21..381G"/>
    <hyperlink ref="AP3989" r:id="rId38" display="http://cdsbib.u-strasbg.fr/cgi-bin/cdsbib?1990RMxAA..21..381G"/>
    <hyperlink ref="AP3990" r:id="rId39" display="http://cdsbib.u-strasbg.fr/cgi-bin/cdsbib?1990RMxAA..21..381G"/>
    <hyperlink ref="AP3986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2024-01-20T03:26:20Z</dcterms:modified>
</cp:coreProperties>
</file>