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7AFFE59-8C4B-41E8-B527-B9DA9F852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S30" i="1" s="1"/>
  <c r="Q30" i="1"/>
  <c r="Q29" i="1"/>
  <c r="Q28" i="1"/>
  <c r="Q27" i="1"/>
  <c r="D9" i="1"/>
  <c r="C9" i="1"/>
  <c r="Q21" i="1"/>
  <c r="Q22" i="1"/>
  <c r="G13" i="2"/>
  <c r="C13" i="2"/>
  <c r="G12" i="2"/>
  <c r="C12" i="2"/>
  <c r="G11" i="2"/>
  <c r="C11" i="2"/>
  <c r="G15" i="2"/>
  <c r="C15" i="2"/>
  <c r="G14" i="2"/>
  <c r="C14" i="2"/>
  <c r="H13" i="2"/>
  <c r="D13" i="2"/>
  <c r="B13" i="2"/>
  <c r="A13" i="2"/>
  <c r="H12" i="2"/>
  <c r="D12" i="2"/>
  <c r="B12" i="2"/>
  <c r="A12" i="2"/>
  <c r="H11" i="2"/>
  <c r="D11" i="2"/>
  <c r="B11" i="2"/>
  <c r="A11" i="2"/>
  <c r="H15" i="2"/>
  <c r="D15" i="2"/>
  <c r="B15" i="2"/>
  <c r="A15" i="2"/>
  <c r="H14" i="2"/>
  <c r="D14" i="2"/>
  <c r="B14" i="2"/>
  <c r="A14" i="2"/>
  <c r="Q26" i="1"/>
  <c r="F16" i="1"/>
  <c r="Q25" i="1"/>
  <c r="Q24" i="1"/>
  <c r="C7" i="1"/>
  <c r="E29" i="1"/>
  <c r="F29" i="1"/>
  <c r="C8" i="1"/>
  <c r="Q23" i="1"/>
  <c r="C17" i="1"/>
  <c r="E14" i="2"/>
  <c r="E15" i="2"/>
  <c r="E13" i="2"/>
  <c r="E27" i="1"/>
  <c r="F27" i="1"/>
  <c r="E21" i="1"/>
  <c r="F21" i="1"/>
  <c r="G21" i="1"/>
  <c r="E25" i="1"/>
  <c r="F25" i="1"/>
  <c r="G25" i="1"/>
  <c r="K25" i="1"/>
  <c r="E23" i="1"/>
  <c r="F23" i="1"/>
  <c r="G23" i="1"/>
  <c r="K23" i="1"/>
  <c r="G22" i="1"/>
  <c r="K22" i="1"/>
  <c r="G29" i="1"/>
  <c r="K29" i="1"/>
  <c r="E28" i="1"/>
  <c r="F28" i="1"/>
  <c r="G28" i="1"/>
  <c r="K28" i="1"/>
  <c r="E24" i="1"/>
  <c r="F24" i="1"/>
  <c r="G24" i="1"/>
  <c r="K24" i="1"/>
  <c r="E22" i="1"/>
  <c r="F22" i="1"/>
  <c r="E26" i="1"/>
  <c r="F26" i="1"/>
  <c r="G26" i="1"/>
  <c r="K26" i="1"/>
  <c r="G27" i="1"/>
  <c r="K27" i="1"/>
  <c r="K21" i="1"/>
  <c r="E12" i="2"/>
  <c r="E11" i="2"/>
  <c r="C12" i="1"/>
  <c r="C11" i="1"/>
  <c r="C16" i="1" l="1"/>
  <c r="D18" i="1" s="1"/>
  <c r="O27" i="1"/>
  <c r="O24" i="1"/>
  <c r="O25" i="1"/>
  <c r="C15" i="1"/>
  <c r="O22" i="1"/>
  <c r="O26" i="1"/>
  <c r="O23" i="1"/>
  <c r="O29" i="1"/>
  <c r="O21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<sst xmlns="http://schemas.openxmlformats.org/spreadsheetml/2006/main" count="114" uniqueCount="85">
  <si>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</si>
  <si>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</si>
  <si>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</si>
  <si>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</si>
  <si>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</si>
  <si>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</si>
  <si>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</si>
  <si>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</si>
  <si>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</si>
  <si>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</si>
  <si>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</si>
  <si>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</si>
  <si>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</si>
  <si>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</si>
  <si>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</si>
  <si>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</si>
  <si>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</si>
  <si>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</si>
  <si>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</si>
  <si>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</si>
  <si>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</si>
  <si>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</si>
  <si>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</si>
  <si>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</si>
  <si>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</si>
  <si>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</si>
  <si>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</si>
  <si>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</si>
  <si>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</si>
  <si>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</si>
  <si>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</si>
  <si>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</si>
  <si>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</si>
  <si>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</si>
  <si>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</si>
  <si>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</si>
  <si>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V0537 Cas / GSC 3668-1411               </t>
  </si>
  <si>
    <t xml:space="preserve">ISA:      </t>
  </si>
  <si>
    <t>IBVS 5653</t>
  </si>
  <si>
    <t>IBVS 6018</t>
  </si>
  <si>
    <t>Add cycle</t>
  </si>
  <si>
    <t>Old Cycle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</si>
  <si>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</si>
  <si>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</si>
  <si>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</si>
  <si>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</si>
  <si>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</si>
  <si>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</si>
  <si>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</si>
  <si>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</si>
  <si>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</si>
  <si>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</si>
  <si>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</si>
  <si>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</si>
  <si>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2451874.3890 </t>
  </si>
  <si>
    <t> 25.11.2000 21:20 </t>
  </si>
  <si>
    <t> 0.0006 </t>
  </si>
  <si>
    <t>E </t>
  </si>
  <si>
    <t>?</t>
  </si>
  <si>
    <t> E.Blättler </t>
  </si>
  <si>
    <t> BBS 124 </t>
  </si>
  <si>
    <t>2451879.2863 </t>
  </si>
  <si>
    <t> 30.11.2000 18:52 </t>
  </si>
  <si>
    <t>2453353.3716 </t>
  </si>
  <si>
    <t> 13.12.2004 20:55 </t>
  </si>
  <si>
    <t> 0.0014 </t>
  </si>
  <si>
    <t> E. Blättler </t>
  </si>
  <si>
    <t>IBVS 5653 </t>
  </si>
  <si>
    <t>2455838.7445 </t>
  </si>
  <si>
    <t> 04.10.2011 05:52 </t>
  </si>
  <si>
    <t> -0.0007 </t>
  </si>
  <si>
    <t>C </t>
  </si>
  <si>
    <t>R</t>
  </si>
  <si>
    <t> R.Nelson </t>
  </si>
  <si>
    <t>IBVS 6018 </t>
  </si>
  <si>
    <t>2456256.6474 </t>
  </si>
  <si>
    <t> 25.11.2012 03:32 </t>
  </si>
  <si>
    <t> 0.0001 </t>
  </si>
  <si>
    <t> R.Diethelm </t>
  </si>
  <si>
    <t>II</t>
  </si>
  <si>
    <t>OEJV 0179</t>
  </si>
  <si>
    <t>RHN 2021</t>
  </si>
  <si>
    <t>2020JAVSO..48….1</t>
  </si>
  <si>
    <t>OEJV 226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</si>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</sst>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 Unicode MS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20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5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left"/>
    </xf>
    <xf numFmtId="0" fontId="5" fillId="0" borderId="0" xfId="0" applyFont="1">
      <alignment vertical="top"/>
    </xf>
    <xf numFmtId="165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83-4418-9C0B-F486686477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83-4418-9C0B-F486686477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83-4418-9C0B-F486686477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7.2540000837761909E-4</c:v>
                </c:pt>
                <c:pt idx="1">
                  <c:v>7.2820000059437007E-4</c:v>
                </c:pt>
                <c:pt idx="2">
                  <c:v>0</c:v>
                </c:pt>
                <c:pt idx="3">
                  <c:v>-4.2899999971268699E-4</c:v>
                </c:pt>
                <c:pt idx="4">
                  <c:v>-5.8579999968060292E-3</c:v>
                </c:pt>
                <c:pt idx="5">
                  <c:v>-5.6523999955970794E-3</c:v>
                </c:pt>
                <c:pt idx="6">
                  <c:v>-8.5561999949277379E-3</c:v>
                </c:pt>
                <c:pt idx="7">
                  <c:v>-1.1041199992178008E-2</c:v>
                </c:pt>
                <c:pt idx="8">
                  <c:v>-1.2454599993361626E-2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83-4418-9C0B-F486686477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83-4418-9C0B-F486686477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83-4418-9C0B-F486686477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3">
                    <c:v>1E-3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83-4418-9C0B-F486686477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-383.5</c:v>
                </c:pt>
                <c:pt idx="1">
                  <c:v>-380.5</c:v>
                </c:pt>
                <c:pt idx="2">
                  <c:v>0</c:v>
                </c:pt>
                <c:pt idx="3">
                  <c:v>522.5</c:v>
                </c:pt>
                <c:pt idx="4">
                  <c:v>2045</c:v>
                </c:pt>
                <c:pt idx="5">
                  <c:v>2301</c:v>
                </c:pt>
                <c:pt idx="6">
                  <c:v>3150.5</c:v>
                </c:pt>
                <c:pt idx="7">
                  <c:v>3813</c:v>
                </c:pt>
                <c:pt idx="8">
                  <c:v>4316.5</c:v>
                </c:pt>
                <c:pt idx="9">
                  <c:v>4316.5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6.9093476415085543E-3</c:v>
                </c:pt>
                <c:pt idx="1">
                  <c:v>6.882785879564173E-3</c:v>
                </c:pt>
                <c:pt idx="2">
                  <c:v>3.513869072951854E-3</c:v>
                </c:pt>
                <c:pt idx="3">
                  <c:v>-1.1123044656944974E-3</c:v>
                </c:pt>
                <c:pt idx="4">
                  <c:v>-1.4592398652467838E-2</c:v>
                </c:pt>
                <c:pt idx="5">
                  <c:v>-1.6859002338388343E-2</c:v>
                </c:pt>
                <c:pt idx="6">
                  <c:v>-2.4380407928972225E-2</c:v>
                </c:pt>
                <c:pt idx="7">
                  <c:v>-3.0246130358356355E-2</c:v>
                </c:pt>
                <c:pt idx="8">
                  <c:v>-3.4704079404688289E-2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83-4418-9C0B-F48668647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27056"/>
        <c:axId val="1"/>
      </c:scatterChart>
      <c:valAx>
        <c:axId val="68002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27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B46B7E-EF88-243B-2C1A-1E93685EE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6018" TargetMode="External"/><Relationship Id="rId1" Type="http://schemas.openxmlformats.org/officeDocument/2006/relationships/hyperlink" Target="http://www.konkoly.hu/cgi-bin/IBVS?5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3"/>
  <sheetViews>
    <sheetView tabSelected="1" workbookViewId="0">
      <selection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22</v>
      </c>
      <c r="B2" s="32" t="s">
        <v>37</v>
      </c>
      <c r="C2" s="3"/>
      <c r="D2" s="3"/>
    </row>
    <row r="3" spans="1:6" ht="13.5" thickBot="1"/>
    <row r="4" spans="1:6" ht="14.25" thickTop="1" thickBot="1">
      <c r="A4" s="5" t="s">
        <v>35</v>
      </c>
      <c r="C4" s="8">
        <v>52500.426099999997</v>
      </c>
      <c r="D4" s="9">
        <v>1.6324323999999999</v>
      </c>
    </row>
    <row r="5" spans="1:6" ht="13.5" thickTop="1">
      <c r="A5" s="11" t="s">
        <v>27</v>
      </c>
      <c r="B5" s="12"/>
      <c r="C5" s="13">
        <v>-9.5</v>
      </c>
      <c r="D5" s="12" t="s">
        <v>28</v>
      </c>
    </row>
    <row r="6" spans="1:6">
      <c r="A6" s="5" t="s">
        <v>0</v>
      </c>
    </row>
    <row r="7" spans="1:6">
      <c r="A7" t="s">
        <v>1</v>
      </c>
      <c r="C7">
        <f>C4</f>
        <v>52500.426099999997</v>
      </c>
    </row>
    <row r="8" spans="1:6">
      <c r="A8" t="s">
        <v>2</v>
      </c>
      <c r="C8">
        <f>D4</f>
        <v>1.6324323999999999</v>
      </c>
      <c r="D8" s="29"/>
    </row>
    <row r="9" spans="1:6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18</v>
      </c>
      <c r="D10" s="4" t="s">
        <v>19</v>
      </c>
      <c r="E10" s="12"/>
    </row>
    <row r="11" spans="1:6">
      <c r="A11" s="12" t="s">
        <v>14</v>
      </c>
      <c r="B11" s="12"/>
      <c r="C11" s="23">
        <f ca="1">INTERCEPT(INDIRECT($D$9):G975,INDIRECT($C$9):F975)</f>
        <v>3.513869072951854E-3</v>
      </c>
      <c r="D11" s="3"/>
      <c r="E11" s="12"/>
    </row>
    <row r="12" spans="1:6">
      <c r="A12" s="12" t="s">
        <v>15</v>
      </c>
      <c r="B12" s="12"/>
      <c r="C12" s="23">
        <f ca="1">SLOPE(INDIRECT($D$9):G975,INDIRECT($C$9):F975)</f>
        <v>-8.8539206481269884E-6</v>
      </c>
      <c r="D12" s="3"/>
      <c r="E12" s="12"/>
    </row>
    <row r="13" spans="1:6">
      <c r="A13" s="12" t="s">
        <v>17</v>
      </c>
      <c r="B13" s="12"/>
      <c r="C13" s="3" t="s">
        <v>12</v>
      </c>
    </row>
    <row r="14" spans="1:6">
      <c r="A14" s="12"/>
      <c r="B14" s="12"/>
      <c r="C14" s="12"/>
    </row>
    <row r="15" spans="1:6">
      <c r="A15" s="14" t="s">
        <v>16</v>
      </c>
      <c r="B15" s="12"/>
      <c r="C15" s="15">
        <f ca="1">(C7+C11)+(C8+C12)*INT(MAX(F21:F3516))</f>
        <v>59545.969638747549</v>
      </c>
      <c r="E15" s="16" t="s">
        <v>40</v>
      </c>
      <c r="F15" s="13">
        <v>1</v>
      </c>
    </row>
    <row r="16" spans="1:6">
      <c r="A16" s="18" t="s">
        <v>3</v>
      </c>
      <c r="B16" s="12"/>
      <c r="C16" s="19">
        <f ca="1">+C8+C12</f>
        <v>1.6324235460793517</v>
      </c>
      <c r="E16" s="16" t="s">
        <v>29</v>
      </c>
      <c r="F16" s="17">
        <f ca="1">NOW()+15018.5+$C$5/24</f>
        <v>60329.691947106476</v>
      </c>
    </row>
    <row r="17" spans="1:19" ht="13.5" thickBot="1">
      <c r="A17" s="16" t="s">
        <v>26</v>
      </c>
      <c r="B17" s="12"/>
      <c r="C17" s="12">
        <f>COUNT(C21:C2174)</f>
        <v>10</v>
      </c>
      <c r="E17" s="16" t="s">
        <v>41</v>
      </c>
      <c r="F17" s="17">
        <f ca="1">ROUND(2*(F16-$C$7)/$C$8,0)/2+F15</f>
        <v>4797</v>
      </c>
    </row>
    <row r="18" spans="1:19" ht="14.25" thickTop="1" thickBot="1">
      <c r="A18" s="18" t="s">
        <v>4</v>
      </c>
      <c r="B18" s="12"/>
      <c r="C18" s="21">
        <f ca="1">+C15</f>
        <v>59545.969638747549</v>
      </c>
      <c r="D18" s="22">
        <f ca="1">+C16</f>
        <v>1.6324235460793517</v>
      </c>
      <c r="E18" s="16" t="s">
        <v>30</v>
      </c>
      <c r="F18" s="25">
        <f ca="1">ROUND(2*(F16-$C$15)/$C$16,0)/2+F15</f>
        <v>481</v>
      </c>
    </row>
    <row r="19" spans="1:19" ht="13.5" thickTop="1">
      <c r="E19" s="16" t="s">
        <v>31</v>
      </c>
      <c r="F19" s="20">
        <f ca="1">+$C$15+$C$16*F18-15018.5-$C$5/24</f>
        <v>45313.061197745054</v>
      </c>
    </row>
    <row r="20" spans="1:19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50</v>
      </c>
      <c r="I20" s="7" t="s">
        <v>53</v>
      </c>
      <c r="J20" s="7" t="s">
        <v>47</v>
      </c>
      <c r="K20" s="7" t="s">
        <v>45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S20" s="60" t="s">
        <v>84</v>
      </c>
    </row>
    <row r="21" spans="1:19">
      <c r="A21" s="46" t="s">
        <v>60</v>
      </c>
      <c r="B21" s="47" t="s">
        <v>79</v>
      </c>
      <c r="C21" s="46">
        <v>51874.389000000003</v>
      </c>
      <c r="D21" s="46" t="s">
        <v>53</v>
      </c>
      <c r="E21">
        <f t="shared" ref="E21:E26" si="0">+(C21-C$7)/C$8</f>
        <v>-383.49955563243793</v>
      </c>
      <c r="F21">
        <f t="shared" ref="F21:F29" si="1">ROUND(2*E21,0)/2</f>
        <v>-383.5</v>
      </c>
      <c r="G21">
        <f t="shared" ref="G21:G26" si="2">+C21-(C$7+F21*C$8)</f>
        <v>7.2540000837761909E-4</v>
      </c>
      <c r="K21">
        <f t="shared" ref="K21:K26" si="3">+G21</f>
        <v>7.2540000837761909E-4</v>
      </c>
      <c r="O21">
        <f t="shared" ref="O21:O26" ca="1" si="4">+C$11+C$12*$F21</f>
        <v>6.9093476415085543E-3</v>
      </c>
      <c r="Q21" s="2">
        <f t="shared" ref="Q21:Q26" si="5">+C21-15018.5</f>
        <v>36855.889000000003</v>
      </c>
    </row>
    <row r="22" spans="1:19">
      <c r="A22" s="46" t="s">
        <v>60</v>
      </c>
      <c r="B22" s="47" t="s">
        <v>79</v>
      </c>
      <c r="C22" s="46">
        <v>51879.2863</v>
      </c>
      <c r="D22" s="46" t="s">
        <v>53</v>
      </c>
      <c r="E22">
        <f t="shared" si="0"/>
        <v>-380.499553917208</v>
      </c>
      <c r="F22">
        <f t="shared" si="1"/>
        <v>-380.5</v>
      </c>
      <c r="G22">
        <f t="shared" si="2"/>
        <v>7.2820000059437007E-4</v>
      </c>
      <c r="K22">
        <f t="shared" si="3"/>
        <v>7.2820000059437007E-4</v>
      </c>
      <c r="O22">
        <f t="shared" ca="1" si="4"/>
        <v>6.882785879564173E-3</v>
      </c>
      <c r="Q22" s="2">
        <f t="shared" si="5"/>
        <v>36860.7863</v>
      </c>
    </row>
    <row r="23" spans="1:19">
      <c r="A23" s="31" t="s">
        <v>34</v>
      </c>
      <c r="B23" s="30" t="s">
        <v>33</v>
      </c>
      <c r="C23" s="31">
        <v>52500.426099999997</v>
      </c>
      <c r="D23" s="28"/>
      <c r="E23">
        <f t="shared" si="0"/>
        <v>0</v>
      </c>
      <c r="F23">
        <f t="shared" si="1"/>
        <v>0</v>
      </c>
      <c r="G23">
        <f t="shared" si="2"/>
        <v>0</v>
      </c>
      <c r="K23">
        <f t="shared" si="3"/>
        <v>0</v>
      </c>
      <c r="O23">
        <f t="shared" ca="1" si="4"/>
        <v>3.513869072951854E-3</v>
      </c>
      <c r="Q23" s="2">
        <f t="shared" si="5"/>
        <v>37481.926099999997</v>
      </c>
    </row>
    <row r="24" spans="1:19">
      <c r="A24" s="31" t="s">
        <v>38</v>
      </c>
      <c r="B24" s="30" t="s">
        <v>33</v>
      </c>
      <c r="C24" s="31">
        <v>53353.371599999999</v>
      </c>
      <c r="D24" s="31">
        <v>1E-3</v>
      </c>
      <c r="E24">
        <f t="shared" si="0"/>
        <v>522.49973720198261</v>
      </c>
      <c r="F24">
        <f t="shared" si="1"/>
        <v>522.5</v>
      </c>
      <c r="G24">
        <f t="shared" si="2"/>
        <v>-4.2899999971268699E-4</v>
      </c>
      <c r="K24">
        <f t="shared" si="3"/>
        <v>-4.2899999971268699E-4</v>
      </c>
      <c r="O24">
        <f t="shared" ca="1" si="4"/>
        <v>-1.1123044656944974E-3</v>
      </c>
      <c r="Q24" s="2">
        <f t="shared" si="5"/>
        <v>38334.871599999999</v>
      </c>
    </row>
    <row r="25" spans="1:19">
      <c r="A25" s="53" t="s">
        <v>39</v>
      </c>
      <c r="B25" s="54"/>
      <c r="C25" s="55">
        <v>55838.744500000001</v>
      </c>
      <c r="D25" s="55">
        <v>2.0000000000000001E-4</v>
      </c>
      <c r="E25">
        <f t="shared" si="0"/>
        <v>2044.9964114899974</v>
      </c>
      <c r="F25">
        <f t="shared" si="1"/>
        <v>2045</v>
      </c>
      <c r="G25">
        <f t="shared" si="2"/>
        <v>-5.8579999968060292E-3</v>
      </c>
      <c r="K25">
        <f t="shared" si="3"/>
        <v>-5.8579999968060292E-3</v>
      </c>
      <c r="O25">
        <f t="shared" ca="1" si="4"/>
        <v>-1.4592398652467838E-2</v>
      </c>
      <c r="Q25" s="2">
        <f t="shared" si="5"/>
        <v>40820.244500000001</v>
      </c>
    </row>
    <row r="26" spans="1:19">
      <c r="A26" s="56" t="s">
        <v>42</v>
      </c>
      <c r="B26" s="30" t="s">
        <v>33</v>
      </c>
      <c r="C26" s="31">
        <v>56256.647400000002</v>
      </c>
      <c r="D26" s="31">
        <v>2.0000000000000001E-4</v>
      </c>
      <c r="E26">
        <f t="shared" si="0"/>
        <v>2300.9965374370204</v>
      </c>
      <c r="F26">
        <f t="shared" si="1"/>
        <v>2301</v>
      </c>
      <c r="G26">
        <f t="shared" si="2"/>
        <v>-5.6523999955970794E-3</v>
      </c>
      <c r="K26">
        <f t="shared" si="3"/>
        <v>-5.6523999955970794E-3</v>
      </c>
      <c r="O26">
        <f t="shared" ca="1" si="4"/>
        <v>-1.6859002338388343E-2</v>
      </c>
      <c r="Q26" s="2">
        <f t="shared" si="5"/>
        <v>41238.147400000002</v>
      </c>
    </row>
    <row r="27" spans="1:19">
      <c r="A27" s="48" t="s">
        <v>80</v>
      </c>
      <c r="B27" s="49" t="s">
        <v>33</v>
      </c>
      <c r="C27" s="50">
        <v>57643.395819999998</v>
      </c>
      <c r="D27" s="50">
        <v>2.9999999999999997E-4</v>
      </c>
      <c r="E27">
        <f>+(C27-C$7)/C$8</f>
        <v>3150.494758619102</v>
      </c>
      <c r="F27">
        <f t="shared" si="1"/>
        <v>3150.5</v>
      </c>
      <c r="G27">
        <f>+C27-(C$7+F27*C$8)</f>
        <v>-8.5561999949277379E-3</v>
      </c>
      <c r="K27">
        <f>+G27</f>
        <v>-8.5561999949277379E-3</v>
      </c>
      <c r="O27">
        <f ca="1">+C$11+C$12*$F27</f>
        <v>-2.4380407928972225E-2</v>
      </c>
      <c r="Q27" s="2">
        <f>+C27-15018.5</f>
        <v>42624.895819999998</v>
      </c>
    </row>
    <row r="28" spans="1:19">
      <c r="A28" s="53" t="s">
        <v>82</v>
      </c>
      <c r="B28" s="54"/>
      <c r="C28" s="55">
        <v>58724.879800000002</v>
      </c>
      <c r="D28" s="55">
        <v>1E-4</v>
      </c>
      <c r="E28">
        <f>+(C28-C$7)/C$8</f>
        <v>3812.9932363508624</v>
      </c>
      <c r="F28">
        <f t="shared" si="1"/>
        <v>3813</v>
      </c>
      <c r="G28">
        <f>+C28-(C$7+F28*C$8)</f>
        <v>-1.1041199992178008E-2</v>
      </c>
      <c r="K28">
        <f>+G28</f>
        <v>-1.1041199992178008E-2</v>
      </c>
      <c r="O28">
        <f ca="1">+C$11+C$12*$F28</f>
        <v>-3.0246130358356355E-2</v>
      </c>
      <c r="Q28" s="2">
        <f>+C28-15018.5</f>
        <v>43706.379800000002</v>
      </c>
    </row>
    <row r="29" spans="1:19">
      <c r="A29" s="53" t="s">
        <v>81</v>
      </c>
      <c r="B29" s="54"/>
      <c r="C29" s="51">
        <v>59546.808100000002</v>
      </c>
      <c r="D29" s="51">
        <v>2.0000000000000001E-4</v>
      </c>
      <c r="E29">
        <f>+(C29-C$7)/C$8</f>
        <v>4316.4923705263418</v>
      </c>
      <c r="F29">
        <f t="shared" si="1"/>
        <v>4316.5</v>
      </c>
      <c r="G29">
        <f>+C29-(C$7+F29*C$8)</f>
        <v>-1.2454599993361626E-2</v>
      </c>
      <c r="K29">
        <f>+G29</f>
        <v>-1.2454599993361626E-2</v>
      </c>
      <c r="O29">
        <f ca="1">+C$11+C$12*$F29</f>
        <v>-3.4704079404688289E-2</v>
      </c>
      <c r="Q29" s="2">
        <f>+C29-15018.5</f>
        <v>44528.308100000002</v>
      </c>
    </row>
    <row r="30" spans="1:19">
      <c r="A30" s="52" t="s">
        <v>83</v>
      </c>
      <c r="B30" s="59" t="s">
        <v>79</v>
      </c>
      <c r="C30" s="57">
        <v>59546.7238</v>
      </c>
      <c r="D30" s="58">
        <v>2.9999999999999997E-4</v>
      </c>
      <c r="E30">
        <f>+(C30-C$7)/C$8</f>
        <v>4316.4407297968373</v>
      </c>
      <c r="F30">
        <f t="shared" ref="F30" si="6">ROUND(2*E30,0)/2</f>
        <v>4316.5</v>
      </c>
      <c r="G30">
        <f>+C30-(C$7+F30*C$8)</f>
        <v>-9.6754599995620083E-2</v>
      </c>
      <c r="Q30" s="2">
        <f>+C30-15018.5</f>
        <v>44528.2238</v>
      </c>
      <c r="S30">
        <f>+G30</f>
        <v>-9.6754599995620083E-2</v>
      </c>
    </row>
    <row r="31" spans="1:19">
      <c r="A31" s="54"/>
      <c r="B31" s="54"/>
      <c r="C31" s="55"/>
      <c r="D31" s="55"/>
    </row>
    <row r="32" spans="1:19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hyperlinks>
    <hyperlink ref="H219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6"/>
  <sheetViews>
    <sheetView workbookViewId="0">
      <selection activeCell="A14" sqref="A14:D15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3" t="s">
        <v>43</v>
      </c>
      <c r="I1" s="34" t="s">
        <v>44</v>
      </c>
      <c r="J1" s="35" t="s">
        <v>45</v>
      </c>
    </row>
    <row r="2" spans="1:16">
      <c r="I2" s="36" t="s">
        <v>46</v>
      </c>
      <c r="J2" s="37" t="s">
        <v>47</v>
      </c>
    </row>
    <row r="3" spans="1:16">
      <c r="A3" s="38" t="s">
        <v>48</v>
      </c>
      <c r="I3" s="36" t="s">
        <v>49</v>
      </c>
      <c r="J3" s="37" t="s">
        <v>50</v>
      </c>
    </row>
    <row r="4" spans="1:16">
      <c r="I4" s="36" t="s">
        <v>51</v>
      </c>
      <c r="J4" s="37" t="s">
        <v>50</v>
      </c>
    </row>
    <row r="5" spans="1:16" ht="13.5" thickBot="1">
      <c r="I5" s="39" t="s">
        <v>52</v>
      </c>
      <c r="J5" s="40" t="s">
        <v>53</v>
      </c>
    </row>
    <row r="10" spans="1:16" ht="13.5" thickBot="1"/>
    <row r="11" spans="1:16" ht="12.75" customHeight="1" thickBot="1">
      <c r="A11" s="10" t="str">
        <f>P11</f>
        <v>IBVS 5653 </v>
      </c>
      <c r="B11" s="3" t="str">
        <f>IF(H11=INT(H11),"I","II")</f>
        <v>II</v>
      </c>
      <c r="C11" s="10">
        <f>1*G11</f>
        <v>53353.371599999999</v>
      </c>
      <c r="D11" s="12" t="str">
        <f>VLOOKUP(F11,I$1:J$5,2,FALSE)</f>
        <v>vis</v>
      </c>
      <c r="E11" s="41">
        <f>VLOOKUP(C11,Active!C$21:E$973,3,FALSE)</f>
        <v>522.49973720198261</v>
      </c>
      <c r="F11" s="3" t="s">
        <v>52</v>
      </c>
      <c r="G11" s="12" t="str">
        <f>MID(I11,3,LEN(I11)-3)</f>
        <v>53353.3716</v>
      </c>
      <c r="H11" s="10">
        <f>1*K11</f>
        <v>522.5</v>
      </c>
      <c r="I11" s="42" t="s">
        <v>63</v>
      </c>
      <c r="J11" s="43" t="s">
        <v>64</v>
      </c>
      <c r="K11" s="42">
        <v>522.5</v>
      </c>
      <c r="L11" s="42" t="s">
        <v>65</v>
      </c>
      <c r="M11" s="43" t="s">
        <v>57</v>
      </c>
      <c r="N11" s="43" t="s">
        <v>58</v>
      </c>
      <c r="O11" s="44" t="s">
        <v>66</v>
      </c>
      <c r="P11" s="45" t="s">
        <v>67</v>
      </c>
    </row>
    <row r="12" spans="1:16" ht="12.75" customHeight="1" thickBot="1">
      <c r="A12" s="10" t="str">
        <f>P12</f>
        <v>IBVS 6018 </v>
      </c>
      <c r="B12" s="3" t="str">
        <f>IF(H12=INT(H12),"I","II")</f>
        <v>I</v>
      </c>
      <c r="C12" s="10">
        <f>1*G12</f>
        <v>55838.744500000001</v>
      </c>
      <c r="D12" s="12" t="str">
        <f>VLOOKUP(F12,I$1:J$5,2,FALSE)</f>
        <v>vis</v>
      </c>
      <c r="E12" s="41">
        <f>VLOOKUP(C12,Active!C$21:E$973,3,FALSE)</f>
        <v>2044.9964114899974</v>
      </c>
      <c r="F12" s="3" t="s">
        <v>52</v>
      </c>
      <c r="G12" s="12" t="str">
        <f>MID(I12,3,LEN(I12)-3)</f>
        <v>55838.7445</v>
      </c>
      <c r="H12" s="10">
        <f>1*K12</f>
        <v>2045</v>
      </c>
      <c r="I12" s="42" t="s">
        <v>68</v>
      </c>
      <c r="J12" s="43" t="s">
        <v>69</v>
      </c>
      <c r="K12" s="42">
        <v>2045</v>
      </c>
      <c r="L12" s="42" t="s">
        <v>70</v>
      </c>
      <c r="M12" s="43" t="s">
        <v>71</v>
      </c>
      <c r="N12" s="43" t="s">
        <v>72</v>
      </c>
      <c r="O12" s="44" t="s">
        <v>73</v>
      </c>
      <c r="P12" s="45" t="s">
        <v>74</v>
      </c>
    </row>
    <row r="13" spans="1:16" ht="12.75" customHeight="1" thickBot="1">
      <c r="A13" s="10" t="str">
        <f>P13</f>
        <v>IBVS 6042</v>
      </c>
      <c r="B13" s="3" t="str">
        <f>IF(H13=INT(H13),"I","II")</f>
        <v>I</v>
      </c>
      <c r="C13" s="10">
        <f>1*G13</f>
        <v>56256.647400000002</v>
      </c>
      <c r="D13" s="12" t="str">
        <f>VLOOKUP(F13,I$1:J$5,2,FALSE)</f>
        <v>vis</v>
      </c>
      <c r="E13" s="41">
        <f>VLOOKUP(C13,Active!C$21:E$973,3,FALSE)</f>
        <v>2300.9965374370204</v>
      </c>
      <c r="F13" s="3" t="s">
        <v>52</v>
      </c>
      <c r="G13" s="12" t="str">
        <f>MID(I13,3,LEN(I13)-3)</f>
        <v>56256.6474</v>
      </c>
      <c r="H13" s="10">
        <f>1*K13</f>
        <v>2301</v>
      </c>
      <c r="I13" s="42" t="s">
        <v>75</v>
      </c>
      <c r="J13" s="43" t="s">
        <v>76</v>
      </c>
      <c r="K13" s="42">
        <v>2301</v>
      </c>
      <c r="L13" s="42" t="s">
        <v>77</v>
      </c>
      <c r="M13" s="43" t="s">
        <v>71</v>
      </c>
      <c r="N13" s="43" t="s">
        <v>52</v>
      </c>
      <c r="O13" s="44" t="s">
        <v>78</v>
      </c>
      <c r="P13" s="45" t="s">
        <v>42</v>
      </c>
    </row>
    <row r="14" spans="1:16" ht="12.75" customHeight="1" thickBot="1">
      <c r="A14" s="10" t="str">
        <f>P14</f>
        <v> BBS 124 </v>
      </c>
      <c r="B14" s="3" t="str">
        <f>IF(H14=INT(H14),"I","II")</f>
        <v>II</v>
      </c>
      <c r="C14" s="10">
        <f>1*G14</f>
        <v>51874.389000000003</v>
      </c>
      <c r="D14" s="12" t="str">
        <f>VLOOKUP(F14,I$1:J$5,2,FALSE)</f>
        <v>vis</v>
      </c>
      <c r="E14" s="41">
        <f>VLOOKUP(C14,Active!C$21:E$973,3,FALSE)</f>
        <v>-383.49955563243793</v>
      </c>
      <c r="F14" s="3" t="s">
        <v>52</v>
      </c>
      <c r="G14" s="12" t="str">
        <f>MID(I14,3,LEN(I14)-3)</f>
        <v>51874.3890</v>
      </c>
      <c r="H14" s="10">
        <f>1*K14</f>
        <v>-383.5</v>
      </c>
      <c r="I14" s="42" t="s">
        <v>54</v>
      </c>
      <c r="J14" s="43" t="s">
        <v>55</v>
      </c>
      <c r="K14" s="42">
        <v>-383.5</v>
      </c>
      <c r="L14" s="42" t="s">
        <v>56</v>
      </c>
      <c r="M14" s="43" t="s">
        <v>57</v>
      </c>
      <c r="N14" s="43" t="s">
        <v>58</v>
      </c>
      <c r="O14" s="44" t="s">
        <v>59</v>
      </c>
      <c r="P14" s="44" t="s">
        <v>60</v>
      </c>
    </row>
    <row r="15" spans="1:16" ht="12.75" customHeight="1" thickBot="1">
      <c r="A15" s="10" t="str">
        <f>P15</f>
        <v> BBS 124 </v>
      </c>
      <c r="B15" s="3" t="str">
        <f>IF(H15=INT(H15),"I","II")</f>
        <v>II</v>
      </c>
      <c r="C15" s="10">
        <f>1*G15</f>
        <v>51879.2863</v>
      </c>
      <c r="D15" s="12" t="str">
        <f>VLOOKUP(F15,I$1:J$5,2,FALSE)</f>
        <v>vis</v>
      </c>
      <c r="E15" s="41">
        <f>VLOOKUP(C15,Active!C$21:E$973,3,FALSE)</f>
        <v>-380.499553917208</v>
      </c>
      <c r="F15" s="3" t="s">
        <v>52</v>
      </c>
      <c r="G15" s="12" t="str">
        <f>MID(I15,3,LEN(I15)-3)</f>
        <v>51879.2863</v>
      </c>
      <c r="H15" s="10">
        <f>1*K15</f>
        <v>-380.5</v>
      </c>
      <c r="I15" s="42" t="s">
        <v>61</v>
      </c>
      <c r="J15" s="43" t="s">
        <v>62</v>
      </c>
      <c r="K15" s="42">
        <v>-380.5</v>
      </c>
      <c r="L15" s="42" t="s">
        <v>56</v>
      </c>
      <c r="M15" s="43" t="s">
        <v>57</v>
      </c>
      <c r="N15" s="43" t="s">
        <v>58</v>
      </c>
      <c r="O15" s="44" t="s">
        <v>59</v>
      </c>
      <c r="P15" s="44" t="s">
        <v>60</v>
      </c>
    </row>
    <row r="16" spans="1:16">
      <c r="B16" s="3"/>
      <c r="F16" s="3"/>
    </row>
    <row r="17" spans="2:6">
      <c r="B17" s="3"/>
      <c r="F17" s="3"/>
    </row>
    <row r="18" spans="2:6">
      <c r="B18" s="3"/>
      <c r="F18" s="3"/>
    </row>
    <row r="19" spans="2:6">
      <c r="B19" s="3"/>
      <c r="F19" s="3"/>
    </row>
    <row r="20" spans="2:6">
      <c r="B20" s="3"/>
      <c r="F20" s="3"/>
    </row>
    <row r="21" spans="2:6">
      <c r="B21" s="3"/>
      <c r="F21" s="3"/>
    </row>
    <row r="22" spans="2:6">
      <c r="B22" s="3"/>
      <c r="F22" s="3"/>
    </row>
    <row r="23" spans="2:6">
      <c r="B23" s="3"/>
      <c r="F23" s="3"/>
    </row>
    <row r="24" spans="2:6">
      <c r="B24" s="3"/>
      <c r="F24" s="3"/>
    </row>
    <row r="25" spans="2:6">
      <c r="B25" s="3"/>
      <c r="F25" s="3"/>
    </row>
    <row r="26" spans="2:6">
      <c r="B26" s="3"/>
      <c r="F26" s="3"/>
    </row>
    <row r="27" spans="2:6">
      <c r="B27" s="3"/>
      <c r="F27" s="3"/>
    </row>
    <row r="28" spans="2:6">
      <c r="B28" s="3"/>
      <c r="F28" s="3"/>
    </row>
    <row r="29" spans="2:6">
      <c r="B29" s="3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</sheetData>
  <phoneticPr fontId="7" type="noConversion"/>
  <hyperlinks>
    <hyperlink ref="P11" r:id="rId1" display="http://www.konkoly.hu/cgi-bin/IBVS?5653" xr:uid="{00000000-0004-0000-0100-000000000000}"/>
    <hyperlink ref="P12" r:id="rId2" display="http://www.konkoly.hu/cgi-bin/IBVS?6018" xr:uid="{00000000-0004-0000-0100-000001000000}"/>
    <hyperlink ref="P13" r:id="rId3" display="http://www.konkoly.hu/cgi-bin/IBVS?6042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2024-01-20T03:36:24Z</dcterms:modified>
</cp:coreProperties>
</file>