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3FD3C93-A948-4386-8FAA-C3C76722BD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K25" i="1" l="1"/>
  <c r="G25" i="1"/>
  <c r="E25" i="1"/>
  <c r="F25" i="1" s="1"/>
  <c r="Q25" i="1"/>
  <c r="E24" i="1"/>
  <c r="F24" i="1"/>
  <c r="U24" i="1"/>
  <c r="D9" i="1"/>
  <c r="C9" i="1"/>
  <c r="Q24" i="1"/>
  <c r="E23" i="1"/>
  <c r="F23" i="1"/>
  <c r="G23" i="1"/>
  <c r="K23" i="1"/>
  <c r="Q23" i="1"/>
  <c r="E22" i="1"/>
  <c r="F22" i="1"/>
  <c r="G22" i="1"/>
  <c r="K22" i="1"/>
  <c r="C21" i="1"/>
  <c r="E21" i="1"/>
  <c r="F21" i="1"/>
  <c r="Q22" i="1"/>
  <c r="A21" i="1"/>
  <c r="F16" i="1"/>
  <c r="C17" i="1"/>
  <c r="Q21" i="1"/>
  <c r="G21" i="1"/>
  <c r="I21" i="1"/>
  <c r="C11" i="1"/>
  <c r="C12" i="1"/>
  <c r="O25" i="1" l="1"/>
  <c r="C15" i="1"/>
  <c r="O22" i="1"/>
  <c r="O21" i="1"/>
  <c r="O24" i="1"/>
  <c r="O23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<sst xmlns="http://schemas.openxmlformats.org/spreadsheetml/2006/main" count="62" uniqueCount="53">
  <si>
    <t>PE</t>
  </si>
  <si>
    <t>IBVS 6193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</si>
  <si>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</si>
  <si>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</si>
  <si>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</si>
  <si>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</si>
  <si>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</si>
  <si>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</si>
  <si>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</si>
  <si>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</si>
  <si>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</si>
  <si>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</si>
  <si>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</si>
  <si>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</si>
  <si>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</si>
  <si>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</si>
  <si>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</si>
  <si>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</si>
  <si>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</si>
  <si>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</si>
  <si>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</si>
  <si>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</si>
  <si>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</si>
  <si>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</si>
  <si>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</si>
  <si>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</si>
  <si>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</si>
  <si>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</si>
  <si>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</si>
  <si>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</si>
  <si>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</si>
  <si>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</si>
  <si>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</si>
  <si>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</si>
  <si>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</si>
  <si>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</si>
  <si>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</si>
  <si>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</si>
  <si>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</si>
  <si>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</si>
  <si>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</si>
  <si>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V0744 Cas</t>
  </si>
  <si>
    <t>V0744 Cas / GSC 3653-0855</t>
  </si>
  <si>
    <t>EA</t>
  </si>
  <si>
    <t>VSX</t>
  </si>
  <si>
    <t>OEJV 0160</t>
  </si>
  <si>
    <t>I</t>
  </si>
  <si>
    <t>G3653-0855</t>
  </si>
  <si>
    <t>vis</t>
  </si>
  <si>
    <t>OEJV 0205</t>
  </si>
  <si>
    <t>II</t>
  </si>
  <si>
    <t>BAD?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</si>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</sst>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5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31" fillId="0" borderId="0" xfId="0" applyFont="1">
      <alignment vertical="top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V0744 Cas - O-C Diagr.</a:t>
            </a:r>
          </a:p>
        </c:rich>
      </c:tx>
      <c:layout>
        <c:manualLayout>
          <c:xMode val="edge"/>
          <c:yMode val="edge"/>
          <c:x val="0.376912378303198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44923504867871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1D-4C77-B36E-BB02EC5B3A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1D-4C77-B36E-BB02EC5B3A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1D-4C77-B36E-BB02EC5B3A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-0.10631000000284985</c:v>
                </c:pt>
                <c:pt idx="2">
                  <c:v>-0.1256000000066706</c:v>
                </c:pt>
                <c:pt idx="4">
                  <c:v>-0.18849999999656575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1D-4C77-B36E-BB02EC5B3A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1D-4C77-B36E-BB02EC5B3A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1D-4C77-B36E-BB02EC5B3A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1D-4C77-B36E-BB02EC5B3A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4.6379035591006951E-3</c:v>
                </c:pt>
                <c:pt idx="1">
                  <c:v>-0.11810567247930895</c:v>
                </c:pt>
                <c:pt idx="2">
                  <c:v>-0.12830111552467977</c:v>
                </c:pt>
                <c:pt idx="3">
                  <c:v>-0.16737037188213594</c:v>
                </c:pt>
                <c:pt idx="4">
                  <c:v>-0.17864111556119822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1D-4C77-B36E-BB02EC5B3A4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3">
                  <c:v>-2.6879999997618143E-2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1D-4C77-B36E-BB02EC5B3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00960"/>
        <c:axId val="1"/>
      </c:scatterChart>
      <c:valAx>
        <c:axId val="750400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1210013908206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00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43949930458971"/>
          <c:y val="0.92397937099967764"/>
          <c:w val="0.668984700973574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57150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80B1700-5FF7-AEEA-E794-BE03EB59D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</row>
    <row r="2" spans="1:6" x14ac:dyDescent="0.2">
      <c r="A2" t="s">
        <v>27</v>
      </c>
      <c r="B2" t="s">
        <v>43</v>
      </c>
      <c r="C2" s="3"/>
      <c r="D2" s="3"/>
      <c r="E2" s="10" t="s">
        <v>41</v>
      </c>
      <c r="F2" t="s">
        <v>47</v>
      </c>
    </row>
    <row r="3" spans="1:6" ht="13.5" thickBot="1" x14ac:dyDescent="0.25"/>
    <row r="4" spans="1:6" ht="14.25" thickTop="1" thickBot="1" x14ac:dyDescent="0.25">
      <c r="A4" s="5" t="s">
        <v>4</v>
      </c>
      <c r="C4" s="27" t="s">
        <v>40</v>
      </c>
      <c r="D4" s="28" t="s">
        <v>40</v>
      </c>
    </row>
    <row r="5" spans="1:6" ht="13.5" thickTop="1" x14ac:dyDescent="0.2">
      <c r="A5" s="9" t="s">
        <v>32</v>
      </c>
      <c r="B5" s="10"/>
      <c r="C5" s="11">
        <v>-9.5</v>
      </c>
      <c r="D5" s="10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 s="42">
        <v>48501.724000000002</v>
      </c>
      <c r="D7" s="29" t="s">
        <v>44</v>
      </c>
    </row>
    <row r="8" spans="1:6" x14ac:dyDescent="0.2">
      <c r="A8" t="s">
        <v>7</v>
      </c>
      <c r="C8" s="42">
        <v>4.7817999999999996</v>
      </c>
      <c r="D8" s="29" t="s">
        <v>44</v>
      </c>
    </row>
    <row r="9" spans="1:6" x14ac:dyDescent="0.2">
      <c r="A9" s="24" t="s">
        <v>36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23</v>
      </c>
      <c r="D10" s="4" t="s">
        <v>24</v>
      </c>
      <c r="E10" s="10"/>
    </row>
    <row r="11" spans="1:6" x14ac:dyDescent="0.2">
      <c r="A11" s="10" t="s">
        <v>19</v>
      </c>
      <c r="B11" s="10"/>
      <c r="C11" s="21">
        <f ca="1">INTERCEPT(INDIRECT($D$9):G992,INDIRECT($C$9):F992)</f>
        <v>4.6379035591006951E-3</v>
      </c>
      <c r="D11" s="3"/>
      <c r="E11" s="10"/>
    </row>
    <row r="12" spans="1:6" x14ac:dyDescent="0.2">
      <c r="A12" s="10" t="s">
        <v>20</v>
      </c>
      <c r="B12" s="10"/>
      <c r="C12" s="21">
        <f ca="1">SLOPE(INDIRECT($D$9):G992,INDIRECT($C$9):F992)</f>
        <v>-7.9651898791959533E-5</v>
      </c>
      <c r="D12" s="3"/>
      <c r="E12" s="10"/>
    </row>
    <row r="13" spans="1:6" x14ac:dyDescent="0.2">
      <c r="A13" s="10" t="s">
        <v>22</v>
      </c>
      <c r="B13" s="10"/>
      <c r="C13" s="3" t="s">
        <v>17</v>
      </c>
    </row>
    <row r="14" spans="1:6" x14ac:dyDescent="0.2">
      <c r="A14" s="10"/>
      <c r="B14" s="10"/>
      <c r="C14" s="10"/>
    </row>
    <row r="15" spans="1:6" x14ac:dyDescent="0.2">
      <c r="A15" s="12" t="s">
        <v>21</v>
      </c>
      <c r="B15" s="10"/>
      <c r="C15" s="13">
        <f ca="1">(C7+C11)+(C8+C12)*INT(MAX(F21:F3533))</f>
        <v>59504.467158884436</v>
      </c>
      <c r="E15" s="14" t="s">
        <v>37</v>
      </c>
      <c r="F15" s="11">
        <v>1</v>
      </c>
    </row>
    <row r="16" spans="1:6" x14ac:dyDescent="0.2">
      <c r="A16" s="16" t="s">
        <v>8</v>
      </c>
      <c r="B16" s="10"/>
      <c r="C16" s="17">
        <f ca="1">+C8+C12</f>
        <v>4.7817203481012074</v>
      </c>
      <c r="E16" s="14" t="s">
        <v>34</v>
      </c>
      <c r="F16" s="15">
        <f ca="1">NOW()+15018.5+$C$5/24</f>
        <v>60329.701066898146</v>
      </c>
    </row>
    <row r="17" spans="1:21" ht="13.5" thickBot="1" x14ac:dyDescent="0.25">
      <c r="A17" s="14" t="s">
        <v>31</v>
      </c>
      <c r="B17" s="10"/>
      <c r="C17" s="10">
        <f>COUNT(C21:C2191)</f>
        <v>5</v>
      </c>
      <c r="E17" s="14" t="s">
        <v>38</v>
      </c>
      <c r="F17" s="15">
        <f ca="1">ROUND(2*(F16-$C$7)/$C$8,0)/2+F15</f>
        <v>2474.5</v>
      </c>
    </row>
    <row r="18" spans="1:21" ht="14.25" thickTop="1" thickBot="1" x14ac:dyDescent="0.25">
      <c r="A18" s="16" t="s">
        <v>9</v>
      </c>
      <c r="B18" s="10"/>
      <c r="C18" s="19">
        <f ca="1">+C15</f>
        <v>59504.467158884436</v>
      </c>
      <c r="D18" s="20">
        <f ca="1">+C16</f>
        <v>4.7817203481012074</v>
      </c>
      <c r="E18" s="14" t="s">
        <v>39</v>
      </c>
      <c r="F18" s="23">
        <f ca="1">ROUND(2*(F16-$C$15)/$C$16,0)/2+F15</f>
        <v>173.5</v>
      </c>
    </row>
    <row r="19" spans="1:21" ht="13.5" thickTop="1" x14ac:dyDescent="0.2">
      <c r="E19" s="14" t="s">
        <v>35</v>
      </c>
      <c r="F19" s="18">
        <f ca="1">+$C$15+$C$16*F18-15018.5-$C$5/24</f>
        <v>45315.991472613328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48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51</v>
      </c>
    </row>
    <row r="21" spans="1:21" x14ac:dyDescent="0.2">
      <c r="A21" t="str">
        <f>D7</f>
        <v>VSX</v>
      </c>
      <c r="C21" s="8">
        <f>C$7</f>
        <v>48501.724000000002</v>
      </c>
      <c r="D21" s="8" t="s">
        <v>17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4.6379035591006951E-3</v>
      </c>
      <c r="Q21" s="2">
        <f>+C21-15018.5</f>
        <v>33483.224000000002</v>
      </c>
    </row>
    <row r="22" spans="1:21" x14ac:dyDescent="0.2">
      <c r="A22" s="30" t="s">
        <v>45</v>
      </c>
      <c r="B22" s="31" t="s">
        <v>46</v>
      </c>
      <c r="C22" s="32">
        <v>55870.371489999998</v>
      </c>
      <c r="D22" s="32">
        <v>4.0000000000000002E-4</v>
      </c>
      <c r="E22">
        <f>+(C22-C$7)/C$8</f>
        <v>1540.9777677861885</v>
      </c>
      <c r="F22">
        <f>ROUND(2*E22,0)/2</f>
        <v>1541</v>
      </c>
      <c r="G22">
        <f>+C22-(C$7+F22*C$8)</f>
        <v>-0.10631000000284985</v>
      </c>
      <c r="K22">
        <f>+G22</f>
        <v>-0.10631000000284985</v>
      </c>
      <c r="O22">
        <f ca="1">+C$11+C$12*$F22</f>
        <v>-0.11810567247930895</v>
      </c>
      <c r="Q22" s="2">
        <f>+C22-15018.5</f>
        <v>40851.871489999998</v>
      </c>
      <c r="R22" t="s">
        <v>2</v>
      </c>
    </row>
    <row r="23" spans="1:21" x14ac:dyDescent="0.2">
      <c r="A23" s="33" t="s">
        <v>1</v>
      </c>
      <c r="B23" s="34" t="s">
        <v>46</v>
      </c>
      <c r="C23" s="35">
        <v>56482.422599999998</v>
      </c>
      <c r="D23" s="35">
        <v>1E-4</v>
      </c>
      <c r="E23">
        <f>+(C23-C$7)/C$8</f>
        <v>1668.9737337404317</v>
      </c>
      <c r="F23">
        <f>ROUND(2*E23,0)/2</f>
        <v>1669</v>
      </c>
      <c r="G23">
        <f>+C23-(C$7+F23*C$8)</f>
        <v>-0.1256000000066706</v>
      </c>
      <c r="K23">
        <f>+G23</f>
        <v>-0.1256000000066706</v>
      </c>
      <c r="O23">
        <f ca="1">+C$11+C$12*$F23</f>
        <v>-0.12830111552467977</v>
      </c>
      <c r="Q23" s="2">
        <f>+C23-15018.5</f>
        <v>41463.922599999998</v>
      </c>
      <c r="R23" t="s">
        <v>2</v>
      </c>
    </row>
    <row r="24" spans="1:21" x14ac:dyDescent="0.2">
      <c r="A24" s="36" t="s">
        <v>49</v>
      </c>
      <c r="B24" s="37" t="s">
        <v>50</v>
      </c>
      <c r="C24" s="38">
        <v>58827.99422</v>
      </c>
      <c r="D24" s="38">
        <v>6.9999999999999994E-5</v>
      </c>
      <c r="E24">
        <f>+(C24-C$7)/C$8</f>
        <v>2159.4943786858503</v>
      </c>
      <c r="F24">
        <f>ROUND(2*E24,0)/2</f>
        <v>2159.5</v>
      </c>
      <c r="O24">
        <f ca="1">+C$11+C$12*$F24</f>
        <v>-0.16737037188213594</v>
      </c>
      <c r="Q24" s="2">
        <f>+C24-15018.5</f>
        <v>43809.49422</v>
      </c>
      <c r="R24" t="s">
        <v>2</v>
      </c>
      <c r="U24">
        <f>+C24-(C$7+F24*C$8)</f>
        <v>-2.6879999997618143E-2</v>
      </c>
    </row>
    <row r="25" spans="1:21" x14ac:dyDescent="0.2">
      <c r="A25" s="39" t="s">
        <v>52</v>
      </c>
      <c r="B25" s="40" t="s">
        <v>46</v>
      </c>
      <c r="C25" s="41">
        <v>59504.457300000002</v>
      </c>
      <c r="D25" s="39">
        <v>2.5000000000000001E-3</v>
      </c>
      <c r="E25">
        <f>+(C25-C$7)/C$8</f>
        <v>2300.9605796980218</v>
      </c>
      <c r="F25">
        <f>ROUND(2*E25,0)/2</f>
        <v>2301</v>
      </c>
      <c r="G25">
        <f t="shared" ref="G25" si="0">+C25-(C$7+F25*C$8)</f>
        <v>-0.18849999999656575</v>
      </c>
      <c r="K25">
        <f t="shared" ref="K25" si="1">+G25</f>
        <v>-0.18849999999656575</v>
      </c>
      <c r="O25">
        <f ca="1">+C$11+C$12*$F25</f>
        <v>-0.17864111556119822</v>
      </c>
      <c r="Q25" s="2">
        <f>+C25-15018.5</f>
        <v>44485.957300000002</v>
      </c>
      <c r="R25" t="s">
        <v>2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4" name="Range1"/>
  </protectedRanges>
  <phoneticPr fontId="7" type="noConversion"/>
  <hyperlinks>
    <hyperlink ref="H2180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2024-01-20T03:49:32Z</dcterms:modified>
</cp:coreProperties>
</file>