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8F4E845-1B6C-44BA-9E20-D9A959DCB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6" r:id="rId1"/>
    <sheet name="A (old)" sheetId="1" r:id="rId2"/>
    <sheet name="B" sheetId="5" r:id="rId3"/>
    <sheet name="BAV" sheetId="7" r:id="rId4"/>
  </sheets>
  <calcPr calcId="181029"/>
</workbook>
</file>

<file path=xl/calcChain.xml><?xml version="1.0" encoding="utf-8"?>
<calcChain xmlns="http://schemas.openxmlformats.org/spreadsheetml/2006/main">
  <c r="E61" i="6" l="1"/>
  <c r="F61" i="6" s="1"/>
  <c r="G61" i="6" s="1"/>
  <c r="K61" i="6" s="1"/>
  <c r="P61" i="6"/>
  <c r="E62" i="6"/>
  <c r="F62" i="6" s="1"/>
  <c r="G62" i="6" s="1"/>
  <c r="K62" i="6" s="1"/>
  <c r="P62" i="6"/>
  <c r="E63" i="6"/>
  <c r="F63" i="6"/>
  <c r="G63" i="6" s="1"/>
  <c r="K63" i="6" s="1"/>
  <c r="P63" i="6"/>
  <c r="E64" i="6"/>
  <c r="F64" i="6" s="1"/>
  <c r="G64" i="6" s="1"/>
  <c r="K64" i="6" s="1"/>
  <c r="P64" i="6"/>
  <c r="E60" i="6"/>
  <c r="F60" i="6" s="1"/>
  <c r="G60" i="6" s="1"/>
  <c r="K60" i="6" s="1"/>
  <c r="P60" i="6"/>
  <c r="E55" i="6"/>
  <c r="F55" i="6" s="1"/>
  <c r="G55" i="6" s="1"/>
  <c r="K55" i="6" s="1"/>
  <c r="E56" i="6"/>
  <c r="F56" i="6" s="1"/>
  <c r="G56" i="6" s="1"/>
  <c r="K56" i="6" s="1"/>
  <c r="E57" i="6"/>
  <c r="F57" i="6" s="1"/>
  <c r="G57" i="6" s="1"/>
  <c r="K57" i="6" s="1"/>
  <c r="E33" i="6"/>
  <c r="F33" i="6" s="1"/>
  <c r="G33" i="6" s="1"/>
  <c r="J33" i="6" s="1"/>
  <c r="E34" i="6"/>
  <c r="F34" i="6"/>
  <c r="G34" i="6" s="1"/>
  <c r="J34" i="6" s="1"/>
  <c r="E35" i="6"/>
  <c r="F35" i="6" s="1"/>
  <c r="G35" i="6" s="1"/>
  <c r="K35" i="6" s="1"/>
  <c r="E36" i="6"/>
  <c r="F36" i="6"/>
  <c r="G36" i="6"/>
  <c r="K36" i="6" s="1"/>
  <c r="E37" i="6"/>
  <c r="F37" i="6"/>
  <c r="G37" i="6" s="1"/>
  <c r="K37" i="6" s="1"/>
  <c r="E38" i="6"/>
  <c r="F38" i="6" s="1"/>
  <c r="G38" i="6" s="1"/>
  <c r="K38" i="6" s="1"/>
  <c r="E39" i="6"/>
  <c r="F39" i="6" s="1"/>
  <c r="G39" i="6" s="1"/>
  <c r="K39" i="6" s="1"/>
  <c r="E40" i="6"/>
  <c r="F40" i="6" s="1"/>
  <c r="G40" i="6" s="1"/>
  <c r="K40" i="6" s="1"/>
  <c r="E41" i="6"/>
  <c r="F41" i="6" s="1"/>
  <c r="G41" i="6" s="1"/>
  <c r="K41" i="6" s="1"/>
  <c r="E42" i="6"/>
  <c r="F42" i="6" s="1"/>
  <c r="G42" i="6" s="1"/>
  <c r="K42" i="6" s="1"/>
  <c r="E43" i="6"/>
  <c r="F43" i="6" s="1"/>
  <c r="G43" i="6" s="1"/>
  <c r="K43" i="6" s="1"/>
  <c r="E44" i="6"/>
  <c r="F44" i="6" s="1"/>
  <c r="G44" i="6" s="1"/>
  <c r="K44" i="6" s="1"/>
  <c r="E45" i="6"/>
  <c r="F45" i="6" s="1"/>
  <c r="G45" i="6" s="1"/>
  <c r="K45" i="6" s="1"/>
  <c r="E46" i="6"/>
  <c r="F46" i="6" s="1"/>
  <c r="G46" i="6" s="1"/>
  <c r="K46" i="6" s="1"/>
  <c r="E47" i="6"/>
  <c r="F47" i="6" s="1"/>
  <c r="G47" i="6" s="1"/>
  <c r="K47" i="6" s="1"/>
  <c r="E48" i="6"/>
  <c r="F48" i="6" s="1"/>
  <c r="G48" i="6" s="1"/>
  <c r="K48" i="6" s="1"/>
  <c r="E49" i="6"/>
  <c r="F49" i="6" s="1"/>
  <c r="G49" i="6" s="1"/>
  <c r="J49" i="6" s="1"/>
  <c r="E50" i="6"/>
  <c r="F50" i="6" s="1"/>
  <c r="G50" i="6" s="1"/>
  <c r="K50" i="6" s="1"/>
  <c r="E51" i="6"/>
  <c r="F51" i="6" s="1"/>
  <c r="G51" i="6" s="1"/>
  <c r="K51" i="6" s="1"/>
  <c r="E53" i="6"/>
  <c r="F53" i="6" s="1"/>
  <c r="G53" i="6" s="1"/>
  <c r="K53" i="6" s="1"/>
  <c r="E54" i="6"/>
  <c r="F54" i="6" s="1"/>
  <c r="G54" i="6" s="1"/>
  <c r="K54" i="6" s="1"/>
  <c r="E58" i="6"/>
  <c r="F58" i="6" s="1"/>
  <c r="G58" i="6" s="1"/>
  <c r="K58" i="6" s="1"/>
  <c r="E59" i="6"/>
  <c r="F59" i="6" s="1"/>
  <c r="G59" i="6" s="1"/>
  <c r="K59" i="6" s="1"/>
  <c r="E52" i="6"/>
  <c r="F52" i="6" s="1"/>
  <c r="U52" i="6" s="1"/>
  <c r="P55" i="6"/>
  <c r="P56" i="6"/>
  <c r="P57" i="6"/>
  <c r="P59" i="6"/>
  <c r="P58" i="6"/>
  <c r="E23" i="6"/>
  <c r="F23" i="6" s="1"/>
  <c r="G23" i="6" s="1"/>
  <c r="E25" i="6"/>
  <c r="F25" i="6" s="1"/>
  <c r="U25" i="6" s="1"/>
  <c r="Q25" i="6" s="1"/>
  <c r="E30" i="6"/>
  <c r="F30" i="6" s="1"/>
  <c r="G30" i="6" s="1"/>
  <c r="K30" i="6" s="1"/>
  <c r="E31" i="6"/>
  <c r="E15" i="7" s="1"/>
  <c r="E32" i="6"/>
  <c r="F32" i="6" s="1"/>
  <c r="G32" i="6" s="1"/>
  <c r="K32" i="6" s="1"/>
  <c r="D9" i="6"/>
  <c r="C9" i="6"/>
  <c r="E28" i="6"/>
  <c r="F28" i="6" s="1"/>
  <c r="G28" i="6" s="1"/>
  <c r="K28" i="6" s="1"/>
  <c r="E22" i="6"/>
  <c r="F22" i="6" s="1"/>
  <c r="G22" i="6" s="1"/>
  <c r="E21" i="6"/>
  <c r="F21" i="6"/>
  <c r="E24" i="6"/>
  <c r="F24" i="6" s="1"/>
  <c r="E26" i="6"/>
  <c r="F26" i="6" s="1"/>
  <c r="G26" i="6" s="1"/>
  <c r="J26" i="6" s="1"/>
  <c r="E27" i="6"/>
  <c r="F27" i="6"/>
  <c r="G27" i="6"/>
  <c r="J27" i="6" s="1"/>
  <c r="P36" i="6"/>
  <c r="P38" i="6"/>
  <c r="P39" i="6"/>
  <c r="P40" i="6"/>
  <c r="P41" i="6"/>
  <c r="P43" i="6"/>
  <c r="G32" i="7"/>
  <c r="C32" i="7"/>
  <c r="E32" i="7"/>
  <c r="G31" i="7"/>
  <c r="C31" i="7"/>
  <c r="E31" i="7"/>
  <c r="G30" i="7"/>
  <c r="C30" i="7"/>
  <c r="E30" i="7"/>
  <c r="G29" i="7"/>
  <c r="C29" i="7"/>
  <c r="G28" i="7"/>
  <c r="C28" i="7"/>
  <c r="E28" i="7"/>
  <c r="G27" i="7"/>
  <c r="C27" i="7"/>
  <c r="E27" i="7"/>
  <c r="G26" i="7"/>
  <c r="C26" i="7"/>
  <c r="E26" i="7"/>
  <c r="G25" i="7"/>
  <c r="C25" i="7"/>
  <c r="G24" i="7"/>
  <c r="C24" i="7"/>
  <c r="E24" i="7"/>
  <c r="G23" i="7"/>
  <c r="C23" i="7"/>
  <c r="E23" i="7"/>
  <c r="G22" i="7"/>
  <c r="C22" i="7"/>
  <c r="E22" i="7"/>
  <c r="G39" i="7"/>
  <c r="C39" i="7"/>
  <c r="G21" i="7"/>
  <c r="C21" i="7"/>
  <c r="E21" i="7"/>
  <c r="G38" i="7"/>
  <c r="C38" i="7"/>
  <c r="E38" i="7"/>
  <c r="G37" i="7"/>
  <c r="C37" i="7"/>
  <c r="E37" i="7"/>
  <c r="G36" i="7"/>
  <c r="C36" i="7"/>
  <c r="G35" i="7"/>
  <c r="C35" i="7"/>
  <c r="E35" i="7"/>
  <c r="G20" i="7"/>
  <c r="C20" i="7"/>
  <c r="E20" i="7"/>
  <c r="G34" i="7"/>
  <c r="C34" i="7"/>
  <c r="E34" i="7"/>
  <c r="G19" i="7"/>
  <c r="C19" i="7"/>
  <c r="E19" i="7"/>
  <c r="G18" i="7"/>
  <c r="C18" i="7"/>
  <c r="E18" i="7"/>
  <c r="G17" i="7"/>
  <c r="C17" i="7"/>
  <c r="E17" i="7"/>
  <c r="G16" i="7"/>
  <c r="C16" i="7"/>
  <c r="E16" i="7"/>
  <c r="G15" i="7"/>
  <c r="C15" i="7"/>
  <c r="G14" i="7"/>
  <c r="C14" i="7"/>
  <c r="E14" i="7"/>
  <c r="G33" i="7"/>
  <c r="C33" i="7"/>
  <c r="E33" i="7"/>
  <c r="G13" i="7"/>
  <c r="C13" i="7"/>
  <c r="E13" i="7"/>
  <c r="G12" i="7"/>
  <c r="C12" i="7"/>
  <c r="E12" i="7"/>
  <c r="G11" i="7"/>
  <c r="C11" i="7"/>
  <c r="H32" i="7"/>
  <c r="D32" i="7"/>
  <c r="B32" i="7"/>
  <c r="A32" i="7"/>
  <c r="H31" i="7"/>
  <c r="B31" i="7"/>
  <c r="D31" i="7"/>
  <c r="A31" i="7"/>
  <c r="H30" i="7"/>
  <c r="D30" i="7"/>
  <c r="B30" i="7"/>
  <c r="A30" i="7"/>
  <c r="H29" i="7"/>
  <c r="B29" i="7"/>
  <c r="D29" i="7"/>
  <c r="A29" i="7"/>
  <c r="H28" i="7"/>
  <c r="D28" i="7"/>
  <c r="B28" i="7"/>
  <c r="A28" i="7"/>
  <c r="H27" i="7"/>
  <c r="B27" i="7"/>
  <c r="D27" i="7"/>
  <c r="A27" i="7"/>
  <c r="H26" i="7"/>
  <c r="D26" i="7"/>
  <c r="B26" i="7"/>
  <c r="A26" i="7"/>
  <c r="H25" i="7"/>
  <c r="B25" i="7"/>
  <c r="D25" i="7"/>
  <c r="A25" i="7"/>
  <c r="H24" i="7"/>
  <c r="D24" i="7"/>
  <c r="B24" i="7"/>
  <c r="A24" i="7"/>
  <c r="H23" i="7"/>
  <c r="B23" i="7"/>
  <c r="D23" i="7"/>
  <c r="A23" i="7"/>
  <c r="H22" i="7"/>
  <c r="D22" i="7"/>
  <c r="B22" i="7"/>
  <c r="A22" i="7"/>
  <c r="H39" i="7"/>
  <c r="B39" i="7"/>
  <c r="D39" i="7"/>
  <c r="A39" i="7"/>
  <c r="H21" i="7"/>
  <c r="D21" i="7"/>
  <c r="B21" i="7"/>
  <c r="A21" i="7"/>
  <c r="H38" i="7"/>
  <c r="B38" i="7"/>
  <c r="D38" i="7"/>
  <c r="A38" i="7"/>
  <c r="H37" i="7"/>
  <c r="D37" i="7"/>
  <c r="B37" i="7"/>
  <c r="A37" i="7"/>
  <c r="H36" i="7"/>
  <c r="B36" i="7"/>
  <c r="D36" i="7"/>
  <c r="A36" i="7"/>
  <c r="H35" i="7"/>
  <c r="D35" i="7"/>
  <c r="B35" i="7"/>
  <c r="A35" i="7"/>
  <c r="H20" i="7"/>
  <c r="B20" i="7"/>
  <c r="D20" i="7"/>
  <c r="A20" i="7"/>
  <c r="H34" i="7"/>
  <c r="D34" i="7"/>
  <c r="B34" i="7"/>
  <c r="A34" i="7"/>
  <c r="H19" i="7"/>
  <c r="B19" i="7"/>
  <c r="D19" i="7"/>
  <c r="A19" i="7"/>
  <c r="H18" i="7"/>
  <c r="D18" i="7"/>
  <c r="B18" i="7"/>
  <c r="A18" i="7"/>
  <c r="H17" i="7"/>
  <c r="B17" i="7"/>
  <c r="D17" i="7"/>
  <c r="A17" i="7"/>
  <c r="H16" i="7"/>
  <c r="D16" i="7"/>
  <c r="B16" i="7"/>
  <c r="A16" i="7"/>
  <c r="H15" i="7"/>
  <c r="B15" i="7"/>
  <c r="D15" i="7"/>
  <c r="A15" i="7"/>
  <c r="H14" i="7"/>
  <c r="D14" i="7"/>
  <c r="B14" i="7"/>
  <c r="A14" i="7"/>
  <c r="H33" i="7"/>
  <c r="B33" i="7"/>
  <c r="D33" i="7"/>
  <c r="A33" i="7"/>
  <c r="H13" i="7"/>
  <c r="D13" i="7"/>
  <c r="B13" i="7"/>
  <c r="A13" i="7"/>
  <c r="H12" i="7"/>
  <c r="B12" i="7"/>
  <c r="D12" i="7"/>
  <c r="A12" i="7"/>
  <c r="H11" i="7"/>
  <c r="D11" i="7"/>
  <c r="B11" i="7"/>
  <c r="A11" i="7"/>
  <c r="P47" i="6"/>
  <c r="P52" i="6"/>
  <c r="P53" i="6"/>
  <c r="P54" i="6"/>
  <c r="P44" i="6"/>
  <c r="P45" i="6"/>
  <c r="P46" i="6"/>
  <c r="P49" i="6"/>
  <c r="P51" i="6"/>
  <c r="P50" i="6"/>
  <c r="P48" i="6"/>
  <c r="P42" i="6"/>
  <c r="P33" i="6"/>
  <c r="E29" i="6"/>
  <c r="F29" i="6"/>
  <c r="G29" i="6" s="1"/>
  <c r="K29" i="6" s="1"/>
  <c r="F16" i="6"/>
  <c r="C17" i="6"/>
  <c r="P37" i="6"/>
  <c r="P34" i="6"/>
  <c r="Q24" i="6"/>
  <c r="Q21" i="6"/>
  <c r="P21" i="6"/>
  <c r="P22" i="6"/>
  <c r="P23" i="6"/>
  <c r="P24" i="6"/>
  <c r="P25" i="6"/>
  <c r="P26" i="6"/>
  <c r="P27" i="6"/>
  <c r="P28" i="6"/>
  <c r="P29" i="6"/>
  <c r="P30" i="6"/>
  <c r="P31" i="6"/>
  <c r="P32" i="6"/>
  <c r="P35" i="6"/>
  <c r="F22" i="5"/>
  <c r="G22" i="5"/>
  <c r="E23" i="5"/>
  <c r="F23" i="5"/>
  <c r="G23" i="5"/>
  <c r="E26" i="5"/>
  <c r="F26" i="5"/>
  <c r="G26" i="5"/>
  <c r="E27" i="5"/>
  <c r="F27" i="5"/>
  <c r="G27" i="5"/>
  <c r="E28" i="5"/>
  <c r="F28" i="5"/>
  <c r="G28" i="5"/>
  <c r="E29" i="5"/>
  <c r="F29" i="5"/>
  <c r="G29" i="5"/>
  <c r="E32" i="5"/>
  <c r="F32" i="5"/>
  <c r="G32" i="5"/>
  <c r="L32" i="5"/>
  <c r="E24" i="5"/>
  <c r="F24" i="5"/>
  <c r="E25" i="5"/>
  <c r="F25" i="5"/>
  <c r="E30" i="5"/>
  <c r="F30" i="5"/>
  <c r="E31" i="5"/>
  <c r="F31" i="5"/>
  <c r="E33" i="5"/>
  <c r="F33" i="5"/>
  <c r="G11" i="5"/>
  <c r="F11" i="5"/>
  <c r="E15" i="5"/>
  <c r="C17" i="5"/>
  <c r="A21" i="5"/>
  <c r="P33" i="5"/>
  <c r="P30" i="5"/>
  <c r="E21" i="5"/>
  <c r="F21" i="5"/>
  <c r="E22" i="5"/>
  <c r="Q21" i="5"/>
  <c r="Q24" i="5"/>
  <c r="Q25" i="5"/>
  <c r="P21" i="5"/>
  <c r="P22" i="5"/>
  <c r="P23" i="5"/>
  <c r="P24" i="5"/>
  <c r="P25" i="5"/>
  <c r="P26" i="5"/>
  <c r="P27" i="5"/>
  <c r="P28" i="5"/>
  <c r="P29" i="5"/>
  <c r="P31" i="5"/>
  <c r="P32" i="5"/>
  <c r="C7" i="1"/>
  <c r="E25" i="1"/>
  <c r="F25" i="1"/>
  <c r="C8" i="1"/>
  <c r="E15" i="1"/>
  <c r="E16" i="1" s="1"/>
  <c r="E17" i="1" s="1"/>
  <c r="C17" i="1"/>
  <c r="P21" i="1"/>
  <c r="E22" i="1"/>
  <c r="F22" i="1"/>
  <c r="P22" i="1"/>
  <c r="P23" i="1"/>
  <c r="P24" i="1"/>
  <c r="P25" i="1"/>
  <c r="P26" i="1"/>
  <c r="E27" i="1"/>
  <c r="F27" i="1"/>
  <c r="P27" i="1"/>
  <c r="P28" i="1"/>
  <c r="P29" i="1"/>
  <c r="P30" i="1"/>
  <c r="E31" i="1"/>
  <c r="F31" i="1"/>
  <c r="P31" i="1"/>
  <c r="I27" i="5"/>
  <c r="L29" i="5"/>
  <c r="I26" i="5"/>
  <c r="K28" i="5"/>
  <c r="Q23" i="5"/>
  <c r="J23" i="5"/>
  <c r="Q22" i="5"/>
  <c r="J22" i="5"/>
  <c r="G27" i="1"/>
  <c r="G28" i="1"/>
  <c r="E26" i="1"/>
  <c r="F26" i="1"/>
  <c r="G26" i="1"/>
  <c r="E23" i="1"/>
  <c r="F23" i="1"/>
  <c r="G23" i="1"/>
  <c r="I23" i="1"/>
  <c r="E28" i="1"/>
  <c r="F28" i="1"/>
  <c r="E24" i="1"/>
  <c r="F24" i="1"/>
  <c r="E29" i="1"/>
  <c r="F29" i="1"/>
  <c r="G29" i="1"/>
  <c r="E21" i="1"/>
  <c r="F21" i="1"/>
  <c r="E30" i="1"/>
  <c r="F30" i="1"/>
  <c r="G30" i="1"/>
  <c r="I30" i="1"/>
  <c r="G22" i="1"/>
  <c r="I22" i="1"/>
  <c r="G31" i="1"/>
  <c r="K31" i="1"/>
  <c r="K29" i="1"/>
  <c r="J28" i="1"/>
  <c r="I27" i="1"/>
  <c r="I26" i="1"/>
  <c r="C11" i="1"/>
  <c r="C12" i="1"/>
  <c r="C16" i="1"/>
  <c r="D18" i="1"/>
  <c r="Q17" i="5"/>
  <c r="Q19" i="5"/>
  <c r="Q18" i="5"/>
  <c r="N27" i="1"/>
  <c r="Q27" i="1"/>
  <c r="N21" i="1"/>
  <c r="Q21" i="1"/>
  <c r="N23" i="1"/>
  <c r="N26" i="1"/>
  <c r="Q26" i="1"/>
  <c r="N28" i="1"/>
  <c r="Q28" i="1"/>
  <c r="N25" i="1"/>
  <c r="Q25" i="1"/>
  <c r="N22" i="1"/>
  <c r="N31" i="1"/>
  <c r="N24" i="1"/>
  <c r="Q24" i="1"/>
  <c r="N30" i="1"/>
  <c r="N29" i="1"/>
  <c r="Q29" i="1"/>
  <c r="C15" i="1"/>
  <c r="Q18" i="1"/>
  <c r="Q17" i="1"/>
  <c r="C18" i="1"/>
  <c r="Q19" i="1"/>
  <c r="C11" i="6"/>
  <c r="C12" i="6"/>
  <c r="C12" i="5"/>
  <c r="Q22" i="6" l="1"/>
  <c r="Q17" i="6" s="1"/>
  <c r="Q19" i="6" s="1"/>
  <c r="J22" i="6"/>
  <c r="Q23" i="6"/>
  <c r="J23" i="6"/>
  <c r="Q18" i="6"/>
  <c r="F31" i="6"/>
  <c r="G31" i="6" s="1"/>
  <c r="K31" i="6" s="1"/>
  <c r="E36" i="7"/>
  <c r="E25" i="7"/>
  <c r="E11" i="7"/>
  <c r="E39" i="7"/>
  <c r="E29" i="7"/>
  <c r="N62" i="6"/>
  <c r="N63" i="6"/>
  <c r="N61" i="6"/>
  <c r="N64" i="6"/>
  <c r="C16" i="5"/>
  <c r="D18" i="5" s="1"/>
  <c r="C16" i="6"/>
  <c r="D18" i="6" s="1"/>
  <c r="N56" i="6"/>
  <c r="N59" i="6"/>
  <c r="N55" i="6"/>
  <c r="N46" i="6"/>
  <c r="N45" i="6"/>
  <c r="N41" i="6"/>
  <c r="C15" i="6"/>
  <c r="N42" i="6"/>
  <c r="N32" i="6"/>
  <c r="Q32" i="6" s="1"/>
  <c r="N35" i="6"/>
  <c r="Q35" i="6" s="1"/>
  <c r="N27" i="6"/>
  <c r="Q27" i="6" s="1"/>
  <c r="N49" i="6"/>
  <c r="N29" i="6"/>
  <c r="Q29" i="6" s="1"/>
  <c r="N37" i="6"/>
  <c r="Q37" i="6" s="1"/>
  <c r="N39" i="6"/>
  <c r="N51" i="6"/>
  <c r="N48" i="6"/>
  <c r="N26" i="6"/>
  <c r="Q26" i="6" s="1"/>
  <c r="N31" i="6"/>
  <c r="Q31" i="6" s="1"/>
  <c r="N52" i="6"/>
  <c r="N36" i="6"/>
  <c r="N53" i="6"/>
  <c r="N47" i="6"/>
  <c r="N40" i="6"/>
  <c r="N60" i="6"/>
  <c r="N58" i="6"/>
  <c r="N28" i="6"/>
  <c r="Q28" i="6" s="1"/>
  <c r="N50" i="6"/>
  <c r="N44" i="6"/>
  <c r="N33" i="6"/>
  <c r="Q33" i="6" s="1"/>
  <c r="N43" i="6"/>
  <c r="N38" i="6"/>
  <c r="N54" i="6"/>
  <c r="N57" i="6"/>
  <c r="N30" i="6"/>
  <c r="Q30" i="6" s="1"/>
  <c r="N34" i="6"/>
  <c r="F17" i="6"/>
  <c r="C11" i="5"/>
  <c r="F18" i="6" l="1"/>
  <c r="F19" i="6" s="1"/>
  <c r="N26" i="5"/>
  <c r="Q26" i="5" s="1"/>
  <c r="N28" i="5"/>
  <c r="Q28" i="5" s="1"/>
  <c r="N31" i="5"/>
  <c r="Q31" i="5" s="1"/>
  <c r="N32" i="5"/>
  <c r="Q32" i="5" s="1"/>
  <c r="N29" i="5"/>
  <c r="Q29" i="5" s="1"/>
  <c r="N30" i="5"/>
  <c r="Q30" i="5" s="1"/>
  <c r="N27" i="5"/>
  <c r="Q27" i="5" s="1"/>
  <c r="N33" i="5"/>
  <c r="Q33" i="5" s="1"/>
  <c r="C15" i="5"/>
  <c r="C18" i="6"/>
  <c r="C18" i="5" l="1"/>
  <c r="E16" i="5"/>
  <c r="E17" i="5" s="1"/>
</calcChain>
</file>

<file path=xl/sharedStrings.xml><?xml version="1.0" encoding="utf-8"?>
<sst xmlns="http://schemas.openxmlformats.org/spreadsheetml/2006/main" count="511" uniqueCount="214">
  <si>
    <t>JAVSO..47..105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</si>
  <si>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</si>
  <si>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</si>
  <si>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</si>
  <si>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</si>
  <si>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</si>
  <si>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</si>
  <si>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</si>
  <si>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</si>
  <si>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</si>
  <si>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</si>
  <si>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</si>
  <si>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</si>
  <si>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</si>
  <si>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</si>
  <si>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</si>
  <si>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</si>
  <si>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</si>
  <si>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</si>
  <si>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</si>
  <si>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</si>
  <si>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</si>
  <si>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</si>
  <si>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</si>
  <si>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</si>
  <si>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</si>
  <si>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IBVS 4702 Eph.</t>
  </si>
  <si>
    <t>IBVS 4702</t>
  </si>
  <si>
    <t>I</t>
  </si>
  <si>
    <t>IBVS 5407</t>
  </si>
  <si>
    <t>II</t>
  </si>
  <si>
    <t>IBVS</t>
  </si>
  <si>
    <t>V776 Cas / HIP 8821</t>
  </si>
  <si>
    <t>ROTSE</t>
  </si>
  <si>
    <t>II?</t>
  </si>
  <si>
    <t>I?</t>
  </si>
  <si>
    <t>Krajci</t>
  </si>
  <si>
    <t>Nelson</t>
  </si>
  <si>
    <t>Misc</t>
  </si>
  <si>
    <t>S5</t>
  </si>
  <si>
    <t>Likely the best fit since ROTSE data are not that accurate.</t>
  </si>
  <si>
    <t>IBVS 5602</t>
  </si>
  <si>
    <t>IBVS 5592</t>
  </si>
  <si>
    <t>EW?</t>
  </si>
  <si>
    <t># of data points:</t>
  </si>
  <si>
    <t xml:space="preserve">IBVS 5736 </t>
  </si>
  <si>
    <t>JD today</t>
  </si>
  <si>
    <t>New Cycle</t>
  </si>
  <si>
    <t>Next ToM</t>
  </si>
  <si>
    <t>My time zone &gt;&gt;&gt;&gt;&gt;</t>
  </si>
  <si>
    <t>(PST=8, PDT=MDT=7, MDT=CST=6, etc.)</t>
  </si>
  <si>
    <t>Local time</t>
  </si>
  <si>
    <t>V776 Cas /  GSC 04314-00651</t>
  </si>
  <si>
    <t>RHN 2006</t>
  </si>
  <si>
    <t>IBVS 5777</t>
  </si>
  <si>
    <t>IBVS 5760</t>
  </si>
  <si>
    <t>Start of linear fit &gt;&gt;&gt;&gt;&gt;&gt;&gt;&gt;&gt;&gt;&gt;&gt;&gt;&gt;&gt;&gt;&gt;&gt;&gt;&gt;&gt;</t>
  </si>
  <si>
    <t>IBVS 5875</t>
  </si>
  <si>
    <t>IBVS 5887</t>
  </si>
  <si>
    <t>Add cycle</t>
  </si>
  <si>
    <t>Old Cycle</t>
  </si>
  <si>
    <t>IBVS 5966</t>
  </si>
  <si>
    <t>IBVS 5898</t>
  </si>
  <si>
    <t>IBVS 6044</t>
  </si>
  <si>
    <t>OEJV 0160</t>
  </si>
  <si>
    <t>IBVS 6070</t>
  </si>
  <si>
    <t>IBVS 6114</t>
  </si>
  <si>
    <t>IBVS 6125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</si>
  <si>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</si>
  <si>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</si>
  <si>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</si>
  <si>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</si>
  <si>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</si>
  <si>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</si>
  <si>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</si>
  <si>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</si>
  <si>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</si>
  <si>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</si>
  <si>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</si>
  <si>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2452556.3107 </t>
  </si>
  <si>
    <t> 08.10.2002 19:27 </t>
  </si>
  <si>
    <t> -0.0162 </t>
  </si>
  <si>
    <t>E </t>
  </si>
  <si>
    <t>?</t>
  </si>
  <si>
    <t> T.Tanriverdi et al. </t>
  </si>
  <si>
    <t>IBVS 5407 </t>
  </si>
  <si>
    <t>2452556.5306 </t>
  </si>
  <si>
    <t> 09.10.2002 00:44 </t>
  </si>
  <si>
    <t> -0.0165 </t>
  </si>
  <si>
    <t>2453086.1374 </t>
  </si>
  <si>
    <t> 21.03.2004 15:17 </t>
  </si>
  <si>
    <t> -0.0104 </t>
  </si>
  <si>
    <t> T.Krajci </t>
  </si>
  <si>
    <t>IBVS 5592 </t>
  </si>
  <si>
    <t>2453351.7116 </t>
  </si>
  <si>
    <t> 12.12.2004 05:04 </t>
  </si>
  <si>
    <t> -0.0073 </t>
  </si>
  <si>
    <t> R.Nelson </t>
  </si>
  <si>
    <t>IBVS 5602 </t>
  </si>
  <si>
    <t>2453966.5385 </t>
  </si>
  <si>
    <t> 19.08.2006 00:55 </t>
  </si>
  <si>
    <t> -0.0017 </t>
  </si>
  <si>
    <t>C </t>
  </si>
  <si>
    <t>o</t>
  </si>
  <si>
    <t> S. Parimucha et al. </t>
  </si>
  <si>
    <t>IBVS 5777 </t>
  </si>
  <si>
    <t>2454039.4274 </t>
  </si>
  <si>
    <t> 30.10.2006 22:15 </t>
  </si>
  <si>
    <t> Sz.Csizmadia et al. </t>
  </si>
  <si>
    <t>IBVS 5736 </t>
  </si>
  <si>
    <t>2454093.6015 </t>
  </si>
  <si>
    <t> 24.12.2006 02:26 </t>
  </si>
  <si>
    <t> 0.0012 </t>
  </si>
  <si>
    <t>R</t>
  </si>
  <si>
    <t> R. Nelson </t>
  </si>
  <si>
    <t>IBVS 5760 </t>
  </si>
  <si>
    <t>2454700.4962 </t>
  </si>
  <si>
    <t> 21.08.2008 23:54 </t>
  </si>
  <si>
    <t> 0.0021 </t>
  </si>
  <si>
    <t> S.Parimucha et al. </t>
  </si>
  <si>
    <t>IBVS 5898 </t>
  </si>
  <si>
    <t>2454788.3554 </t>
  </si>
  <si>
    <t> 17.11.2008 20:31 </t>
  </si>
  <si>
    <t> -0.0018 </t>
  </si>
  <si>
    <t>m</t>
  </si>
  <si>
    <t> K.Eyidogan &amp; T.Çakir </t>
  </si>
  <si>
    <t>IBVS 5887 </t>
  </si>
  <si>
    <t>2454819.629 </t>
  </si>
  <si>
    <t> 19.12.2008 03:05 </t>
  </si>
  <si>
    <t> 0.002 </t>
  </si>
  <si>
    <t>IBVS 5875 </t>
  </si>
  <si>
    <t>2455154.3451 </t>
  </si>
  <si>
    <t> 18.11.2009 20:16 </t>
  </si>
  <si>
    <t> 0.0019 </t>
  </si>
  <si>
    <t> U.Schmidt </t>
  </si>
  <si>
    <t>BAVM 212 </t>
  </si>
  <si>
    <t>2455202.5705 </t>
  </si>
  <si>
    <t> 06.01.2010 01:41 </t>
  </si>
  <si>
    <t> 0.0017 </t>
  </si>
  <si>
    <t>IBVS 5966 </t>
  </si>
  <si>
    <t>2455223.2688 </t>
  </si>
  <si>
    <t> 26.01.2010 18:27 </t>
  </si>
  <si>
    <t> 0.0004 </t>
  </si>
  <si>
    <t>IBVS 5980 </t>
  </si>
  <si>
    <t>2455397.4509 </t>
  </si>
  <si>
    <t> 19.07.2010 22:49 </t>
  </si>
  <si>
    <t> -0.0022 </t>
  </si>
  <si>
    <t>2455421.4527 </t>
  </si>
  <si>
    <t> 12.08.2010 22:51 </t>
  </si>
  <si>
    <t> -0.0031 </t>
  </si>
  <si>
    <t>2455475.4078 </t>
  </si>
  <si>
    <t> 05.10.2010 21:47 </t>
  </si>
  <si>
    <t> 0.0010 </t>
  </si>
  <si>
    <t>2455779.5150 </t>
  </si>
  <si>
    <t> 06.08.2011 00:21 </t>
  </si>
  <si>
    <t> 0.0007 </t>
  </si>
  <si>
    <t>IBVS 6044 </t>
  </si>
  <si>
    <t>2455804.3990 </t>
  </si>
  <si>
    <t> 30.08.2011 21:34 </t>
  </si>
  <si>
    <t>-I</t>
  </si>
  <si>
    <t> F.Agerer </t>
  </si>
  <si>
    <t>BAVM 225 </t>
  </si>
  <si>
    <t>2455872.66553 </t>
  </si>
  <si>
    <t> 07.11.2011 03:58 </t>
  </si>
  <si>
    <t>7657</t>
  </si>
  <si>
    <t> 0.00316 </t>
  </si>
  <si>
    <t> K.Ho?kova </t>
  </si>
  <si>
    <t>OEJV 0160 </t>
  </si>
  <si>
    <t>B</t>
  </si>
  <si>
    <t>2456155.40894 </t>
  </si>
  <si>
    <t> 15.08.2012 21:48 </t>
  </si>
  <si>
    <t>8299</t>
  </si>
  <si>
    <t> -0.00076 </t>
  </si>
  <si>
    <t> R.Uhlar </t>
  </si>
  <si>
    <t>IBVS 6114 </t>
  </si>
  <si>
    <t>2456156.5120 </t>
  </si>
  <si>
    <t> 17.08.2012 00:17 </t>
  </si>
  <si>
    <t>8301.5</t>
  </si>
  <si>
    <t> 0.0013 </t>
  </si>
  <si>
    <t>2456220.3713 </t>
  </si>
  <si>
    <t> 19.10.2012 20:54 </t>
  </si>
  <si>
    <t>8446.5</t>
  </si>
  <si>
    <t> 0.0002 </t>
  </si>
  <si>
    <t>BAVM 231 </t>
  </si>
  <si>
    <t>2456221.2511 </t>
  </si>
  <si>
    <t> 20.10.2012 18:01 </t>
  </si>
  <si>
    <t>8448.5</t>
  </si>
  <si>
    <t> -0.0009 </t>
  </si>
  <si>
    <t>2456221.4725 </t>
  </si>
  <si>
    <t> 20.10.2012 23:20 </t>
  </si>
  <si>
    <t>8449</t>
  </si>
  <si>
    <t> 0.0003 </t>
  </si>
  <si>
    <t>2456500.48298 </t>
  </si>
  <si>
    <t> 26.07.2013 23:35 </t>
  </si>
  <si>
    <t>9082.5</t>
  </si>
  <si>
    <t> 0.00703 </t>
  </si>
  <si>
    <t>2456542.53555 </t>
  </si>
  <si>
    <t> 07.09.2013 00:51 </t>
  </si>
  <si>
    <t>9178</t>
  </si>
  <si>
    <t> -0.00017 </t>
  </si>
  <si>
    <t>2456638.5450 </t>
  </si>
  <si>
    <t> 12.12.2013 01:04 </t>
  </si>
  <si>
    <t>9396</t>
  </si>
  <si>
    <t> -0.0015 </t>
  </si>
  <si>
    <t> D.Dilan Izci </t>
  </si>
  <si>
    <t>IBVS 6125 </t>
  </si>
  <si>
    <t>s5</t>
  </si>
  <si>
    <t>s6</t>
  </si>
  <si>
    <t>IBVS 5980</t>
  </si>
  <si>
    <t>BAD?</t>
  </si>
  <si>
    <t>IBVS 6234</t>
  </si>
  <si>
    <t>JAVSO 49, 256</t>
  </si>
  <si>
    <t>JBAV, 60</t>
  </si>
  <si>
    <t>V0776 Cas / HIP 8821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</si>
</sst>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14" fontId="0" fillId="0" borderId="0" xfId="0" applyNumberFormat="1" applyAlignment="1"/>
    <xf numFmtId="22" fontId="0" fillId="0" borderId="0" xfId="0" applyNumberFormat="1" applyAlignment="1"/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22" fontId="8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22" fontId="15" fillId="0" borderId="0" xfId="0" applyNumberFormat="1" applyFont="1" applyAlignment="1"/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0" xfId="0" applyFont="1" applyAlignment="1"/>
    <xf numFmtId="0" fontId="26" fillId="0" borderId="0" xfId="0" applyFont="1" applyAlignment="1"/>
    <xf numFmtId="0" fontId="20" fillId="0" borderId="0" xfId="42" applyFont="1" applyAlignment="1">
      <alignment horizontal="left"/>
    </xf>
    <xf numFmtId="0" fontId="20" fillId="0" borderId="0" xfId="42" applyFont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6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V0776 Cas / HIP 8821 - O-C Diagr.</a:t>
            </a:r>
          </a:p>
        </c:rich>
      </c:tx>
      <c:layout>
        <c:manualLayout>
          <c:xMode val="edge"/>
          <c:yMode val="edge"/>
          <c:x val="0.29821717990275526"/>
          <c:y val="2.9940119760479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10696920583469"/>
          <c:y val="0.13473073588770099"/>
          <c:w val="0.86223662884927066"/>
          <c:h val="0.682635728497685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3665.5</c:v>
                </c:pt>
                <c:pt idx="13">
                  <c:v>3865</c:v>
                </c:pt>
                <c:pt idx="14">
                  <c:v>3936</c:v>
                </c:pt>
                <c:pt idx="15">
                  <c:v>4696</c:v>
                </c:pt>
                <c:pt idx="16">
                  <c:v>4805.5</c:v>
                </c:pt>
                <c:pt idx="17">
                  <c:v>4852.5</c:v>
                </c:pt>
                <c:pt idx="18">
                  <c:v>5248</c:v>
                </c:pt>
                <c:pt idx="19">
                  <c:v>5302.5</c:v>
                </c:pt>
                <c:pt idx="20">
                  <c:v>5425</c:v>
                </c:pt>
                <c:pt idx="21">
                  <c:v>6115.5</c:v>
                </c:pt>
                <c:pt idx="22">
                  <c:v>6172</c:v>
                </c:pt>
                <c:pt idx="23">
                  <c:v>6327</c:v>
                </c:pt>
                <c:pt idx="24">
                  <c:v>6327</c:v>
                </c:pt>
                <c:pt idx="25">
                  <c:v>6327</c:v>
                </c:pt>
                <c:pt idx="26">
                  <c:v>6969</c:v>
                </c:pt>
                <c:pt idx="27">
                  <c:v>6971.5</c:v>
                </c:pt>
                <c:pt idx="28">
                  <c:v>7116.5</c:v>
                </c:pt>
                <c:pt idx="29">
                  <c:v>7118.5</c:v>
                </c:pt>
                <c:pt idx="30">
                  <c:v>7119</c:v>
                </c:pt>
                <c:pt idx="31">
                  <c:v>7752.5</c:v>
                </c:pt>
                <c:pt idx="32">
                  <c:v>7848</c:v>
                </c:pt>
                <c:pt idx="33">
                  <c:v>8066</c:v>
                </c:pt>
                <c:pt idx="34">
                  <c:v>10384.5</c:v>
                </c:pt>
                <c:pt idx="35">
                  <c:v>10385</c:v>
                </c:pt>
                <c:pt idx="36">
                  <c:v>10425.5</c:v>
                </c:pt>
                <c:pt idx="37">
                  <c:v>11082</c:v>
                </c:pt>
                <c:pt idx="38">
                  <c:v>11363</c:v>
                </c:pt>
                <c:pt idx="39">
                  <c:v>13846.5</c:v>
                </c:pt>
                <c:pt idx="40">
                  <c:v>13658</c:v>
                </c:pt>
                <c:pt idx="41">
                  <c:v>13658.5</c:v>
                </c:pt>
                <c:pt idx="42">
                  <c:v>14539</c:v>
                </c:pt>
                <c:pt idx="43">
                  <c:v>14539.5</c:v>
                </c:pt>
              </c:numCache>
            </c:numRef>
          </c:xVal>
          <c:yVal>
            <c:numRef>
              <c:f>Active!$H$21:$H$923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CB-4F33-B3D0-930CAEDB4F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3.3E-4</c:v>
                  </c:pt>
                  <c:pt idx="27">
                    <c:v>8.0000000000000004E-4</c:v>
                  </c:pt>
                  <c:pt idx="28">
                    <c:v>1.3899999999999999E-2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3.3E-4</c:v>
                  </c:pt>
                  <c:pt idx="27">
                    <c:v>8.0000000000000004E-4</c:v>
                  </c:pt>
                  <c:pt idx="28">
                    <c:v>1.3899999999999999E-2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3665.5</c:v>
                </c:pt>
                <c:pt idx="13">
                  <c:v>3865</c:v>
                </c:pt>
                <c:pt idx="14">
                  <c:v>3936</c:v>
                </c:pt>
                <c:pt idx="15">
                  <c:v>4696</c:v>
                </c:pt>
                <c:pt idx="16">
                  <c:v>4805.5</c:v>
                </c:pt>
                <c:pt idx="17">
                  <c:v>4852.5</c:v>
                </c:pt>
                <c:pt idx="18">
                  <c:v>5248</c:v>
                </c:pt>
                <c:pt idx="19">
                  <c:v>5302.5</c:v>
                </c:pt>
                <c:pt idx="20">
                  <c:v>5425</c:v>
                </c:pt>
                <c:pt idx="21">
                  <c:v>6115.5</c:v>
                </c:pt>
                <c:pt idx="22">
                  <c:v>6172</c:v>
                </c:pt>
                <c:pt idx="23">
                  <c:v>6327</c:v>
                </c:pt>
                <c:pt idx="24">
                  <c:v>6327</c:v>
                </c:pt>
                <c:pt idx="25">
                  <c:v>6327</c:v>
                </c:pt>
                <c:pt idx="26">
                  <c:v>6969</c:v>
                </c:pt>
                <c:pt idx="27">
                  <c:v>6971.5</c:v>
                </c:pt>
                <c:pt idx="28">
                  <c:v>7116.5</c:v>
                </c:pt>
                <c:pt idx="29">
                  <c:v>7118.5</c:v>
                </c:pt>
                <c:pt idx="30">
                  <c:v>7119</c:v>
                </c:pt>
                <c:pt idx="31">
                  <c:v>7752.5</c:v>
                </c:pt>
                <c:pt idx="32">
                  <c:v>7848</c:v>
                </c:pt>
                <c:pt idx="33">
                  <c:v>8066</c:v>
                </c:pt>
                <c:pt idx="34">
                  <c:v>10384.5</c:v>
                </c:pt>
                <c:pt idx="35">
                  <c:v>10385</c:v>
                </c:pt>
                <c:pt idx="36">
                  <c:v>10425.5</c:v>
                </c:pt>
                <c:pt idx="37">
                  <c:v>11082</c:v>
                </c:pt>
                <c:pt idx="38">
                  <c:v>11363</c:v>
                </c:pt>
                <c:pt idx="39">
                  <c:v>13846.5</c:v>
                </c:pt>
                <c:pt idx="40">
                  <c:v>13658</c:v>
                </c:pt>
                <c:pt idx="41">
                  <c:v>13658.5</c:v>
                </c:pt>
                <c:pt idx="42">
                  <c:v>14539</c:v>
                </c:pt>
                <c:pt idx="43">
                  <c:v>14539.5</c:v>
                </c:pt>
              </c:numCache>
            </c:numRef>
          </c:xVal>
          <c:yVal>
            <c:numRef>
              <c:f>Active!$I$21:$I$933</c:f>
              <c:numCache>
                <c:formatCode>General</c:formatCode>
                <c:ptCount val="9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CB-4F33-B3D0-930CAEDB4F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3665.5</c:v>
                </c:pt>
                <c:pt idx="13">
                  <c:v>3865</c:v>
                </c:pt>
                <c:pt idx="14">
                  <c:v>3936</c:v>
                </c:pt>
                <c:pt idx="15">
                  <c:v>4696</c:v>
                </c:pt>
                <c:pt idx="16">
                  <c:v>4805.5</c:v>
                </c:pt>
                <c:pt idx="17">
                  <c:v>4852.5</c:v>
                </c:pt>
                <c:pt idx="18">
                  <c:v>5248</c:v>
                </c:pt>
                <c:pt idx="19">
                  <c:v>5302.5</c:v>
                </c:pt>
                <c:pt idx="20">
                  <c:v>5425</c:v>
                </c:pt>
                <c:pt idx="21">
                  <c:v>6115.5</c:v>
                </c:pt>
                <c:pt idx="22">
                  <c:v>6172</c:v>
                </c:pt>
                <c:pt idx="23">
                  <c:v>6327</c:v>
                </c:pt>
                <c:pt idx="24">
                  <c:v>6327</c:v>
                </c:pt>
                <c:pt idx="25">
                  <c:v>6327</c:v>
                </c:pt>
                <c:pt idx="26">
                  <c:v>6969</c:v>
                </c:pt>
                <c:pt idx="27">
                  <c:v>6971.5</c:v>
                </c:pt>
                <c:pt idx="28">
                  <c:v>7116.5</c:v>
                </c:pt>
                <c:pt idx="29">
                  <c:v>7118.5</c:v>
                </c:pt>
                <c:pt idx="30">
                  <c:v>7119</c:v>
                </c:pt>
                <c:pt idx="31">
                  <c:v>7752.5</c:v>
                </c:pt>
                <c:pt idx="32">
                  <c:v>7848</c:v>
                </c:pt>
                <c:pt idx="33">
                  <c:v>8066</c:v>
                </c:pt>
                <c:pt idx="34">
                  <c:v>10384.5</c:v>
                </c:pt>
                <c:pt idx="35">
                  <c:v>10385</c:v>
                </c:pt>
                <c:pt idx="36">
                  <c:v>10425.5</c:v>
                </c:pt>
                <c:pt idx="37">
                  <c:v>11082</c:v>
                </c:pt>
                <c:pt idx="38">
                  <c:v>11363</c:v>
                </c:pt>
                <c:pt idx="39">
                  <c:v>13846.5</c:v>
                </c:pt>
                <c:pt idx="40">
                  <c:v>13658</c:v>
                </c:pt>
                <c:pt idx="41">
                  <c:v>13658.5</c:v>
                </c:pt>
                <c:pt idx="42">
                  <c:v>14539</c:v>
                </c:pt>
                <c:pt idx="43">
                  <c:v>14539.5</c:v>
                </c:pt>
              </c:numCache>
            </c:numRef>
          </c:xVal>
          <c:yVal>
            <c:numRef>
              <c:f>Active!$J$21:$J$937</c:f>
              <c:numCache>
                <c:formatCode>General</c:formatCode>
                <c:ptCount val="917"/>
                <c:pt idx="1">
                  <c:v>-1.7433394532417879E-3</c:v>
                </c:pt>
                <c:pt idx="2">
                  <c:v>1.7859709259937517E-3</c:v>
                </c:pt>
                <c:pt idx="5">
                  <c:v>2.1923275198787451E-4</c:v>
                </c:pt>
                <c:pt idx="6">
                  <c:v>-9.1456873633433133E-5</c:v>
                </c:pt>
                <c:pt idx="12">
                  <c:v>-5.7656256467453204E-3</c:v>
                </c:pt>
                <c:pt idx="13">
                  <c:v>-1.0630785196553916E-2</c:v>
                </c:pt>
                <c:pt idx="28">
                  <c:v>-2.4845403066137806E-2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B-4F33-B3D0-930CAEDB4F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3665.5</c:v>
                </c:pt>
                <c:pt idx="13">
                  <c:v>3865</c:v>
                </c:pt>
                <c:pt idx="14">
                  <c:v>3936</c:v>
                </c:pt>
                <c:pt idx="15">
                  <c:v>4696</c:v>
                </c:pt>
                <c:pt idx="16">
                  <c:v>4805.5</c:v>
                </c:pt>
                <c:pt idx="17">
                  <c:v>4852.5</c:v>
                </c:pt>
                <c:pt idx="18">
                  <c:v>5248</c:v>
                </c:pt>
                <c:pt idx="19">
                  <c:v>5302.5</c:v>
                </c:pt>
                <c:pt idx="20">
                  <c:v>5425</c:v>
                </c:pt>
                <c:pt idx="21">
                  <c:v>6115.5</c:v>
                </c:pt>
                <c:pt idx="22">
                  <c:v>6172</c:v>
                </c:pt>
                <c:pt idx="23">
                  <c:v>6327</c:v>
                </c:pt>
                <c:pt idx="24">
                  <c:v>6327</c:v>
                </c:pt>
                <c:pt idx="25">
                  <c:v>6327</c:v>
                </c:pt>
                <c:pt idx="26">
                  <c:v>6969</c:v>
                </c:pt>
                <c:pt idx="27">
                  <c:v>6971.5</c:v>
                </c:pt>
                <c:pt idx="28">
                  <c:v>7116.5</c:v>
                </c:pt>
                <c:pt idx="29">
                  <c:v>7118.5</c:v>
                </c:pt>
                <c:pt idx="30">
                  <c:v>7119</c:v>
                </c:pt>
                <c:pt idx="31">
                  <c:v>7752.5</c:v>
                </c:pt>
                <c:pt idx="32">
                  <c:v>7848</c:v>
                </c:pt>
                <c:pt idx="33">
                  <c:v>8066</c:v>
                </c:pt>
                <c:pt idx="34">
                  <c:v>10384.5</c:v>
                </c:pt>
                <c:pt idx="35">
                  <c:v>10385</c:v>
                </c:pt>
                <c:pt idx="36">
                  <c:v>10425.5</c:v>
                </c:pt>
                <c:pt idx="37">
                  <c:v>11082</c:v>
                </c:pt>
                <c:pt idx="38">
                  <c:v>11363</c:v>
                </c:pt>
                <c:pt idx="39">
                  <c:v>13846.5</c:v>
                </c:pt>
                <c:pt idx="40">
                  <c:v>13658</c:v>
                </c:pt>
                <c:pt idx="41">
                  <c:v>13658.5</c:v>
                </c:pt>
                <c:pt idx="42">
                  <c:v>14539</c:v>
                </c:pt>
                <c:pt idx="43">
                  <c:v>14539.5</c:v>
                </c:pt>
              </c:numCache>
            </c:numRef>
          </c:xVal>
          <c:yVal>
            <c:numRef>
              <c:f>Active!$K$21:$K$937</c:f>
              <c:numCache>
                <c:formatCode>General</c:formatCode>
                <c:ptCount val="917"/>
                <c:pt idx="7">
                  <c:v>0</c:v>
                </c:pt>
                <c:pt idx="8">
                  <c:v>9.1285903181415051E-5</c:v>
                </c:pt>
                <c:pt idx="9">
                  <c:v>-1.2371124466881156E-3</c:v>
                </c:pt>
                <c:pt idx="10">
                  <c:v>-2.0753776334458962E-3</c:v>
                </c:pt>
                <c:pt idx="11">
                  <c:v>1.9497512403177097E-4</c:v>
                </c:pt>
                <c:pt idx="14">
                  <c:v>-6.9487116488744505E-3</c:v>
                </c:pt>
                <c:pt idx="15">
                  <c:v>-1.1096938491391484E-2</c:v>
                </c:pt>
                <c:pt idx="16">
                  <c:v>-1.183796591067221E-2</c:v>
                </c:pt>
                <c:pt idx="17">
                  <c:v>-1.3342790472961497E-2</c:v>
                </c:pt>
                <c:pt idx="18">
                  <c:v>-1.7898282196256332E-2</c:v>
                </c:pt>
                <c:pt idx="19">
                  <c:v>-1.9063451094552875E-2</c:v>
                </c:pt>
                <c:pt idx="20">
                  <c:v>-1.5582408712361939E-2</c:v>
                </c:pt>
                <c:pt idx="21">
                  <c:v>-1.9344777974765748E-2</c:v>
                </c:pt>
                <c:pt idx="22">
                  <c:v>-1.9152705361193512E-2</c:v>
                </c:pt>
                <c:pt idx="23">
                  <c:v>-1.7936488467967138E-2</c:v>
                </c:pt>
                <c:pt idx="24">
                  <c:v>-1.7936488467967138E-2</c:v>
                </c:pt>
                <c:pt idx="25">
                  <c:v>-1.7936488467967138E-2</c:v>
                </c:pt>
                <c:pt idx="26">
                  <c:v>-2.5051964301383123E-2</c:v>
                </c:pt>
                <c:pt idx="27">
                  <c:v>-2.3045412410283461E-2</c:v>
                </c:pt>
                <c:pt idx="29">
                  <c:v>-2.5888161551847588E-2</c:v>
                </c:pt>
                <c:pt idx="30">
                  <c:v>-2.4698851171706337E-2</c:v>
                </c:pt>
                <c:pt idx="32">
                  <c:v>-2.8834321397880558E-2</c:v>
                </c:pt>
                <c:pt idx="33">
                  <c:v>-3.1244996993336827E-2</c:v>
                </c:pt>
                <c:pt idx="34">
                  <c:v>-4.5212778488348704E-2</c:v>
                </c:pt>
                <c:pt idx="35">
                  <c:v>-4.6423468113061972E-2</c:v>
                </c:pt>
                <c:pt idx="36">
                  <c:v>-4.6489327571180183E-2</c:v>
                </c:pt>
                <c:pt idx="37">
                  <c:v>-4.7324802464572713E-2</c:v>
                </c:pt>
                <c:pt idx="38">
                  <c:v>-5.3232370548357721E-2</c:v>
                </c:pt>
                <c:pt idx="39">
                  <c:v>-7.0727727608755231E-2</c:v>
                </c:pt>
                <c:pt idx="40">
                  <c:v>-7.1797739765315782E-2</c:v>
                </c:pt>
                <c:pt idx="41">
                  <c:v>-6.7708429385675117E-2</c:v>
                </c:pt>
                <c:pt idx="42">
                  <c:v>-7.6432855355960783E-2</c:v>
                </c:pt>
                <c:pt idx="43">
                  <c:v>-7.104354498005705E-2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CB-4F33-B3D0-930CAEDB4F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Active!$D$21:$D$2010</c:f>
                <c:numCache>
                  <c:formatCode>General</c:formatCode>
                  <c:ptCount val="1990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3.3E-4</c:v>
                  </c:pt>
                  <c:pt idx="27">
                    <c:v>8.0000000000000004E-4</c:v>
                  </c:pt>
                  <c:pt idx="28">
                    <c:v>1.3899999999999999E-2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3.5E-4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8.9999999999999998E-4</c:v>
                  </c:pt>
                  <c:pt idx="40">
                    <c:v>2E-3</c:v>
                  </c:pt>
                  <c:pt idx="41">
                    <c:v>3.8999999999999998E-3</c:v>
                  </c:pt>
                  <c:pt idx="42">
                    <c:v>2.7000000000000001E-3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Active!$D$21:$D$2010</c:f>
                <c:numCache>
                  <c:formatCode>General</c:formatCode>
                  <c:ptCount val="1990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3.3E-4</c:v>
                  </c:pt>
                  <c:pt idx="27">
                    <c:v>8.0000000000000004E-4</c:v>
                  </c:pt>
                  <c:pt idx="28">
                    <c:v>1.3899999999999999E-2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3.5E-4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8.9999999999999998E-4</c:v>
                  </c:pt>
                  <c:pt idx="40">
                    <c:v>2E-3</c:v>
                  </c:pt>
                  <c:pt idx="41">
                    <c:v>3.8999999999999998E-3</c:v>
                  </c:pt>
                  <c:pt idx="42">
                    <c:v>2.7000000000000001E-3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3665.5</c:v>
                </c:pt>
                <c:pt idx="13">
                  <c:v>3865</c:v>
                </c:pt>
                <c:pt idx="14">
                  <c:v>3936</c:v>
                </c:pt>
                <c:pt idx="15">
                  <c:v>4696</c:v>
                </c:pt>
                <c:pt idx="16">
                  <c:v>4805.5</c:v>
                </c:pt>
                <c:pt idx="17">
                  <c:v>4852.5</c:v>
                </c:pt>
                <c:pt idx="18">
                  <c:v>5248</c:v>
                </c:pt>
                <c:pt idx="19">
                  <c:v>5302.5</c:v>
                </c:pt>
                <c:pt idx="20">
                  <c:v>5425</c:v>
                </c:pt>
                <c:pt idx="21">
                  <c:v>6115.5</c:v>
                </c:pt>
                <c:pt idx="22">
                  <c:v>6172</c:v>
                </c:pt>
                <c:pt idx="23">
                  <c:v>6327</c:v>
                </c:pt>
                <c:pt idx="24">
                  <c:v>6327</c:v>
                </c:pt>
                <c:pt idx="25">
                  <c:v>6327</c:v>
                </c:pt>
                <c:pt idx="26">
                  <c:v>6969</c:v>
                </c:pt>
                <c:pt idx="27">
                  <c:v>6971.5</c:v>
                </c:pt>
                <c:pt idx="28">
                  <c:v>7116.5</c:v>
                </c:pt>
                <c:pt idx="29">
                  <c:v>7118.5</c:v>
                </c:pt>
                <c:pt idx="30">
                  <c:v>7119</c:v>
                </c:pt>
                <c:pt idx="31">
                  <c:v>7752.5</c:v>
                </c:pt>
                <c:pt idx="32">
                  <c:v>7848</c:v>
                </c:pt>
                <c:pt idx="33">
                  <c:v>8066</c:v>
                </c:pt>
                <c:pt idx="34">
                  <c:v>10384.5</c:v>
                </c:pt>
                <c:pt idx="35">
                  <c:v>10385</c:v>
                </c:pt>
                <c:pt idx="36">
                  <c:v>10425.5</c:v>
                </c:pt>
                <c:pt idx="37">
                  <c:v>11082</c:v>
                </c:pt>
                <c:pt idx="38">
                  <c:v>11363</c:v>
                </c:pt>
                <c:pt idx="39">
                  <c:v>13846.5</c:v>
                </c:pt>
                <c:pt idx="40">
                  <c:v>13658</c:v>
                </c:pt>
                <c:pt idx="41">
                  <c:v>13658.5</c:v>
                </c:pt>
                <c:pt idx="42">
                  <c:v>14539</c:v>
                </c:pt>
                <c:pt idx="43">
                  <c:v>14539.5</c:v>
                </c:pt>
              </c:numCache>
            </c:numRef>
          </c:xVal>
          <c:yVal>
            <c:numRef>
              <c:f>Active!$L$21:$L$937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CB-4F33-B3D0-930CAEDB4F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3665.5</c:v>
                </c:pt>
                <c:pt idx="13">
                  <c:v>3865</c:v>
                </c:pt>
                <c:pt idx="14">
                  <c:v>3936</c:v>
                </c:pt>
                <c:pt idx="15">
                  <c:v>4696</c:v>
                </c:pt>
                <c:pt idx="16">
                  <c:v>4805.5</c:v>
                </c:pt>
                <c:pt idx="17">
                  <c:v>4852.5</c:v>
                </c:pt>
                <c:pt idx="18">
                  <c:v>5248</c:v>
                </c:pt>
                <c:pt idx="19">
                  <c:v>5302.5</c:v>
                </c:pt>
                <c:pt idx="20">
                  <c:v>5425</c:v>
                </c:pt>
                <c:pt idx="21">
                  <c:v>6115.5</c:v>
                </c:pt>
                <c:pt idx="22">
                  <c:v>6172</c:v>
                </c:pt>
                <c:pt idx="23">
                  <c:v>6327</c:v>
                </c:pt>
                <c:pt idx="24">
                  <c:v>6327</c:v>
                </c:pt>
                <c:pt idx="25">
                  <c:v>6327</c:v>
                </c:pt>
                <c:pt idx="26">
                  <c:v>6969</c:v>
                </c:pt>
                <c:pt idx="27">
                  <c:v>6971.5</c:v>
                </c:pt>
                <c:pt idx="28">
                  <c:v>7116.5</c:v>
                </c:pt>
                <c:pt idx="29">
                  <c:v>7118.5</c:v>
                </c:pt>
                <c:pt idx="30">
                  <c:v>7119</c:v>
                </c:pt>
                <c:pt idx="31">
                  <c:v>7752.5</c:v>
                </c:pt>
                <c:pt idx="32">
                  <c:v>7848</c:v>
                </c:pt>
                <c:pt idx="33">
                  <c:v>8066</c:v>
                </c:pt>
                <c:pt idx="34">
                  <c:v>10384.5</c:v>
                </c:pt>
                <c:pt idx="35">
                  <c:v>10385</c:v>
                </c:pt>
                <c:pt idx="36">
                  <c:v>10425.5</c:v>
                </c:pt>
                <c:pt idx="37">
                  <c:v>11082</c:v>
                </c:pt>
                <c:pt idx="38">
                  <c:v>11363</c:v>
                </c:pt>
                <c:pt idx="39">
                  <c:v>13846.5</c:v>
                </c:pt>
                <c:pt idx="40">
                  <c:v>13658</c:v>
                </c:pt>
                <c:pt idx="41">
                  <c:v>13658.5</c:v>
                </c:pt>
                <c:pt idx="42">
                  <c:v>14539</c:v>
                </c:pt>
                <c:pt idx="43">
                  <c:v>14539.5</c:v>
                </c:pt>
              </c:numCache>
            </c:numRef>
          </c:xVal>
          <c:yVal>
            <c:numRef>
              <c:f>Active!$M$21:$M$937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CB-4F33-B3D0-930CAEDB4F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3665.5</c:v>
                </c:pt>
                <c:pt idx="13">
                  <c:v>3865</c:v>
                </c:pt>
                <c:pt idx="14">
                  <c:v>3936</c:v>
                </c:pt>
                <c:pt idx="15">
                  <c:v>4696</c:v>
                </c:pt>
                <c:pt idx="16">
                  <c:v>4805.5</c:v>
                </c:pt>
                <c:pt idx="17">
                  <c:v>4852.5</c:v>
                </c:pt>
                <c:pt idx="18">
                  <c:v>5248</c:v>
                </c:pt>
                <c:pt idx="19">
                  <c:v>5302.5</c:v>
                </c:pt>
                <c:pt idx="20">
                  <c:v>5425</c:v>
                </c:pt>
                <c:pt idx="21">
                  <c:v>6115.5</c:v>
                </c:pt>
                <c:pt idx="22">
                  <c:v>6172</c:v>
                </c:pt>
                <c:pt idx="23">
                  <c:v>6327</c:v>
                </c:pt>
                <c:pt idx="24">
                  <c:v>6327</c:v>
                </c:pt>
                <c:pt idx="25">
                  <c:v>6327</c:v>
                </c:pt>
                <c:pt idx="26">
                  <c:v>6969</c:v>
                </c:pt>
                <c:pt idx="27">
                  <c:v>6971.5</c:v>
                </c:pt>
                <c:pt idx="28">
                  <c:v>7116.5</c:v>
                </c:pt>
                <c:pt idx="29">
                  <c:v>7118.5</c:v>
                </c:pt>
                <c:pt idx="30">
                  <c:v>7119</c:v>
                </c:pt>
                <c:pt idx="31">
                  <c:v>7752.5</c:v>
                </c:pt>
                <c:pt idx="32">
                  <c:v>7848</c:v>
                </c:pt>
                <c:pt idx="33">
                  <c:v>8066</c:v>
                </c:pt>
                <c:pt idx="34">
                  <c:v>10384.5</c:v>
                </c:pt>
                <c:pt idx="35">
                  <c:v>10385</c:v>
                </c:pt>
                <c:pt idx="36">
                  <c:v>10425.5</c:v>
                </c:pt>
                <c:pt idx="37">
                  <c:v>11082</c:v>
                </c:pt>
                <c:pt idx="38">
                  <c:v>11363</c:v>
                </c:pt>
                <c:pt idx="39">
                  <c:v>13846.5</c:v>
                </c:pt>
                <c:pt idx="40">
                  <c:v>13658</c:v>
                </c:pt>
                <c:pt idx="41">
                  <c:v>13658.5</c:v>
                </c:pt>
                <c:pt idx="42">
                  <c:v>14539</c:v>
                </c:pt>
                <c:pt idx="43">
                  <c:v>14539.5</c:v>
                </c:pt>
              </c:numCache>
            </c:numRef>
          </c:xVal>
          <c:yVal>
            <c:numRef>
              <c:f>Active!$N$21:$N$937</c:f>
              <c:numCache>
                <c:formatCode>General</c:formatCode>
                <c:ptCount val="917"/>
                <c:pt idx="5">
                  <c:v>2.5619395589646352E-2</c:v>
                </c:pt>
                <c:pt idx="6">
                  <c:v>2.5616273636585439E-2</c:v>
                </c:pt>
                <c:pt idx="7">
                  <c:v>1.8107976525087249E-2</c:v>
                </c:pt>
                <c:pt idx="8">
                  <c:v>1.4342901133624957E-2</c:v>
                </c:pt>
                <c:pt idx="9">
                  <c:v>5.6264081875530472E-3</c:v>
                </c:pt>
                <c:pt idx="10">
                  <c:v>4.5930417243905102E-3</c:v>
                </c:pt>
                <c:pt idx="11">
                  <c:v>3.8250412714056631E-3</c:v>
                </c:pt>
                <c:pt idx="12">
                  <c:v>-4.7790613644733415E-3</c:v>
                </c:pt>
                <c:pt idx="13">
                  <c:v>-6.0247206357780317E-3</c:v>
                </c:pt>
                <c:pt idx="14">
                  <c:v>-6.4680379704278208E-3</c:v>
                </c:pt>
                <c:pt idx="15">
                  <c:v>-1.1213406623017112E-2</c:v>
                </c:pt>
                <c:pt idx="16">
                  <c:v>-1.189711434335728E-2</c:v>
                </c:pt>
                <c:pt idx="17">
                  <c:v>-1.2190577931083194E-2</c:v>
                </c:pt>
                <c:pt idx="18">
                  <c:v>-1.4660042802266175E-2</c:v>
                </c:pt>
                <c:pt idx="19">
                  <c:v>-1.5000335685905801E-2</c:v>
                </c:pt>
                <c:pt idx="20">
                  <c:v>-1.5765214185829733E-2</c:v>
                </c:pt>
                <c:pt idx="21">
                  <c:v>-2.0076631362951979E-2</c:v>
                </c:pt>
                <c:pt idx="22">
                  <c:v>-2.0429412058835264E-2</c:v>
                </c:pt>
                <c:pt idx="23">
                  <c:v>-2.1397217507718606E-2</c:v>
                </c:pt>
                <c:pt idx="24">
                  <c:v>-2.1397217507718606E-2</c:v>
                </c:pt>
                <c:pt idx="25">
                  <c:v>-2.1397217507718606E-2</c:v>
                </c:pt>
                <c:pt idx="26">
                  <c:v>-2.5405805237932191E-2</c:v>
                </c:pt>
                <c:pt idx="27">
                  <c:v>-2.5421415003236761E-2</c:v>
                </c:pt>
                <c:pt idx="28">
                  <c:v>-2.6326781390901825E-2</c:v>
                </c:pt>
                <c:pt idx="29">
                  <c:v>-2.6339269203145478E-2</c:v>
                </c:pt>
                <c:pt idx="30">
                  <c:v>-2.6342391156206395E-2</c:v>
                </c:pt>
                <c:pt idx="31">
                  <c:v>-3.0297905684384438E-2</c:v>
                </c:pt>
                <c:pt idx="32">
                  <c:v>-3.0894198719019016E-2</c:v>
                </c:pt>
                <c:pt idx="33">
                  <c:v>-3.2255370253577526E-2</c:v>
                </c:pt>
                <c:pt idx="34">
                  <c:v>-4.6731866597035779E-2</c:v>
                </c:pt>
                <c:pt idx="35">
                  <c:v>-4.6734988550096696E-2</c:v>
                </c:pt>
                <c:pt idx="36">
                  <c:v>-4.6987866748030724E-2</c:v>
                </c:pt>
                <c:pt idx="37">
                  <c:v>-5.1086991117010816E-2</c:v>
                </c:pt>
                <c:pt idx="38">
                  <c:v>-5.2841528737244486E-2</c:v>
                </c:pt>
                <c:pt idx="39">
                  <c:v>-6.8348269590804367E-2</c:v>
                </c:pt>
                <c:pt idx="40">
                  <c:v>-6.7171293286839781E-2</c:v>
                </c:pt>
                <c:pt idx="41">
                  <c:v>-6.7174415239900698E-2</c:v>
                </c:pt>
                <c:pt idx="42">
                  <c:v>-7.2672174580170265E-2</c:v>
                </c:pt>
                <c:pt idx="43">
                  <c:v>-7.2675296533231182E-2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CB-4F33-B3D0-930CAEDB4F2A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3665.5</c:v>
                </c:pt>
                <c:pt idx="13">
                  <c:v>3865</c:v>
                </c:pt>
                <c:pt idx="14">
                  <c:v>3936</c:v>
                </c:pt>
                <c:pt idx="15">
                  <c:v>4696</c:v>
                </c:pt>
                <c:pt idx="16">
                  <c:v>4805.5</c:v>
                </c:pt>
                <c:pt idx="17">
                  <c:v>4852.5</c:v>
                </c:pt>
                <c:pt idx="18">
                  <c:v>5248</c:v>
                </c:pt>
                <c:pt idx="19">
                  <c:v>5302.5</c:v>
                </c:pt>
                <c:pt idx="20">
                  <c:v>5425</c:v>
                </c:pt>
                <c:pt idx="21">
                  <c:v>6115.5</c:v>
                </c:pt>
                <c:pt idx="22">
                  <c:v>6172</c:v>
                </c:pt>
                <c:pt idx="23">
                  <c:v>6327</c:v>
                </c:pt>
                <c:pt idx="24">
                  <c:v>6327</c:v>
                </c:pt>
                <c:pt idx="25">
                  <c:v>6327</c:v>
                </c:pt>
                <c:pt idx="26">
                  <c:v>6969</c:v>
                </c:pt>
                <c:pt idx="27">
                  <c:v>6971.5</c:v>
                </c:pt>
                <c:pt idx="28">
                  <c:v>7116.5</c:v>
                </c:pt>
                <c:pt idx="29">
                  <c:v>7118.5</c:v>
                </c:pt>
                <c:pt idx="30">
                  <c:v>7119</c:v>
                </c:pt>
                <c:pt idx="31">
                  <c:v>7752.5</c:v>
                </c:pt>
                <c:pt idx="32">
                  <c:v>7848</c:v>
                </c:pt>
                <c:pt idx="33">
                  <c:v>8066</c:v>
                </c:pt>
                <c:pt idx="34">
                  <c:v>10384.5</c:v>
                </c:pt>
                <c:pt idx="35">
                  <c:v>10385</c:v>
                </c:pt>
                <c:pt idx="36">
                  <c:v>10425.5</c:v>
                </c:pt>
                <c:pt idx="37">
                  <c:v>11082</c:v>
                </c:pt>
                <c:pt idx="38">
                  <c:v>11363</c:v>
                </c:pt>
                <c:pt idx="39">
                  <c:v>13846.5</c:v>
                </c:pt>
                <c:pt idx="40">
                  <c:v>13658</c:v>
                </c:pt>
                <c:pt idx="41">
                  <c:v>13658.5</c:v>
                </c:pt>
                <c:pt idx="42">
                  <c:v>14539</c:v>
                </c:pt>
                <c:pt idx="43">
                  <c:v>14539.5</c:v>
                </c:pt>
              </c:numCache>
            </c:numRef>
          </c:xVal>
          <c:yVal>
            <c:numRef>
              <c:f>Active!$U$21:$U$923</c:f>
              <c:numCache>
                <c:formatCode>General</c:formatCode>
                <c:ptCount val="903"/>
                <c:pt idx="0">
                  <c:v>-3.6430090040084906E-3</c:v>
                </c:pt>
                <c:pt idx="3">
                  <c:v>-1.0910812998190522E-2</c:v>
                </c:pt>
                <c:pt idx="4">
                  <c:v>2.1535287851293106E-2</c:v>
                </c:pt>
                <c:pt idx="31">
                  <c:v>-2.116260342154419E-2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CB-4F33-B3D0-930CAEDB4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70400"/>
        <c:axId val="1"/>
      </c:scatterChart>
      <c:valAx>
        <c:axId val="464270400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19611021069692"/>
              <c:y val="0.88024077828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386228173574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270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45542949756887"/>
          <c:y val="0.92215694595061837"/>
          <c:w val="0.6839546191247973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V776 Cas / HIP 8821 - O-C Diagr.</a:t>
            </a:r>
          </a:p>
        </c:rich>
      </c:tx>
      <c:layout>
        <c:manualLayout>
          <c:xMode val="edge"/>
          <c:yMode val="edge"/>
          <c:x val="0.29284543259047691"/>
          <c:y val="1.5151515151515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42007170671899E-2"/>
          <c:y val="9.3939671933214758E-2"/>
          <c:w val="0.86855311829983739"/>
          <c:h val="0.7212142554872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(old)'!$F$21:$F$24</c:f>
              <c:numCache>
                <c:formatCode>General</c:formatCode>
                <c:ptCount val="4"/>
                <c:pt idx="0">
                  <c:v>0</c:v>
                </c:pt>
                <c:pt idx="1">
                  <c:v>6754</c:v>
                </c:pt>
                <c:pt idx="2">
                  <c:v>6754.5</c:v>
                </c:pt>
                <c:pt idx="3">
                  <c:v>6772</c:v>
                </c:pt>
              </c:numCache>
            </c:numRef>
          </c:xVal>
          <c:yVal>
            <c:numRef>
              <c:f>'A (old)'!$H$21:$H$24</c:f>
              <c:numCache>
                <c:formatCode>General</c:formatCode>
                <c:ptCount val="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8-4941-846E-0B9B4738569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(old)'!$D$22:$D$38</c:f>
                <c:numCache>
                  <c:formatCode>General</c:formatCode>
                  <c:ptCount val="17"/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(old)'!$F$21:$F$38</c:f>
              <c:numCache>
                <c:formatCode>General</c:formatCode>
                <c:ptCount val="18"/>
                <c:pt idx="0">
                  <c:v>0</c:v>
                </c:pt>
                <c:pt idx="1">
                  <c:v>6754</c:v>
                </c:pt>
                <c:pt idx="2">
                  <c:v>6754.5</c:v>
                </c:pt>
                <c:pt idx="3">
                  <c:v>6772</c:v>
                </c:pt>
                <c:pt idx="4">
                  <c:v>6856.5</c:v>
                </c:pt>
                <c:pt idx="5">
                  <c:v>9210</c:v>
                </c:pt>
                <c:pt idx="6">
                  <c:v>9210.5</c:v>
                </c:pt>
                <c:pt idx="7">
                  <c:v>10413</c:v>
                </c:pt>
                <c:pt idx="8">
                  <c:v>11016</c:v>
                </c:pt>
                <c:pt idx="9">
                  <c:v>12577.5</c:v>
                </c:pt>
                <c:pt idx="10">
                  <c:v>12700.5</c:v>
                </c:pt>
              </c:numCache>
            </c:numRef>
          </c:xVal>
          <c:yVal>
            <c:numRef>
              <c:f>'A (old)'!$I$21:$I$38</c:f>
              <c:numCache>
                <c:formatCode>General</c:formatCode>
                <c:ptCount val="18"/>
                <c:pt idx="1">
                  <c:v>-5.7199999719159678E-4</c:v>
                </c:pt>
                <c:pt idx="2">
                  <c:v>2.9615000021294691E-3</c:v>
                </c:pt>
                <c:pt idx="5">
                  <c:v>2.1970000001601875E-2</c:v>
                </c:pt>
                <c:pt idx="6">
                  <c:v>2.1663499996066093E-2</c:v>
                </c:pt>
                <c:pt idx="9">
                  <c:v>4.7892499998852145E-2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8-4941-846E-0B9B4738569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(old)'!$F$21:$F$38</c:f>
              <c:numCache>
                <c:formatCode>General</c:formatCode>
                <c:ptCount val="18"/>
                <c:pt idx="0">
                  <c:v>0</c:v>
                </c:pt>
                <c:pt idx="1">
                  <c:v>6754</c:v>
                </c:pt>
                <c:pt idx="2">
                  <c:v>6754.5</c:v>
                </c:pt>
                <c:pt idx="3">
                  <c:v>6772</c:v>
                </c:pt>
                <c:pt idx="4">
                  <c:v>6856.5</c:v>
                </c:pt>
                <c:pt idx="5">
                  <c:v>9210</c:v>
                </c:pt>
                <c:pt idx="6">
                  <c:v>9210.5</c:v>
                </c:pt>
                <c:pt idx="7">
                  <c:v>10413</c:v>
                </c:pt>
                <c:pt idx="8">
                  <c:v>11016</c:v>
                </c:pt>
                <c:pt idx="9">
                  <c:v>12577.5</c:v>
                </c:pt>
                <c:pt idx="10">
                  <c:v>12700.5</c:v>
                </c:pt>
              </c:numCache>
            </c:numRef>
          </c:xVal>
          <c:yVal>
            <c:numRef>
              <c:f>'A (old)'!$J$21:$J$38</c:f>
              <c:numCache>
                <c:formatCode>General</c:formatCode>
                <c:ptCount val="18"/>
                <c:pt idx="7">
                  <c:v>3.1831000000238419E-2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8-4941-846E-0B9B4738569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(old)'!$F$21:$F$38</c:f>
              <c:numCache>
                <c:formatCode>General</c:formatCode>
                <c:ptCount val="18"/>
                <c:pt idx="0">
                  <c:v>0</c:v>
                </c:pt>
                <c:pt idx="1">
                  <c:v>6754</c:v>
                </c:pt>
                <c:pt idx="2">
                  <c:v>6754.5</c:v>
                </c:pt>
                <c:pt idx="3">
                  <c:v>6772</c:v>
                </c:pt>
                <c:pt idx="4">
                  <c:v>6856.5</c:v>
                </c:pt>
                <c:pt idx="5">
                  <c:v>9210</c:v>
                </c:pt>
                <c:pt idx="6">
                  <c:v>9210.5</c:v>
                </c:pt>
                <c:pt idx="7">
                  <c:v>10413</c:v>
                </c:pt>
                <c:pt idx="8">
                  <c:v>11016</c:v>
                </c:pt>
                <c:pt idx="9">
                  <c:v>12577.5</c:v>
                </c:pt>
                <c:pt idx="10">
                  <c:v>12700.5</c:v>
                </c:pt>
              </c:numCache>
            </c:numRef>
          </c:xVal>
          <c:yVal>
            <c:numRef>
              <c:f>'A (old)'!$K$21:$K$38</c:f>
              <c:numCache>
                <c:formatCode>General</c:formatCode>
                <c:ptCount val="18"/>
                <c:pt idx="8">
                  <c:v>3.6974971146264579E-2</c:v>
                </c:pt>
                <c:pt idx="10">
                  <c:v>5.1193499995861202E-2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8-4941-846E-0B9B4738569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numRef>
              <c:f>'A (old)'!$F$21:$F$38</c:f>
              <c:numCache>
                <c:formatCode>General</c:formatCode>
                <c:ptCount val="18"/>
                <c:pt idx="0">
                  <c:v>0</c:v>
                </c:pt>
                <c:pt idx="1">
                  <c:v>6754</c:v>
                </c:pt>
                <c:pt idx="2">
                  <c:v>6754.5</c:v>
                </c:pt>
                <c:pt idx="3">
                  <c:v>6772</c:v>
                </c:pt>
                <c:pt idx="4">
                  <c:v>6856.5</c:v>
                </c:pt>
                <c:pt idx="5">
                  <c:v>9210</c:v>
                </c:pt>
                <c:pt idx="6">
                  <c:v>9210.5</c:v>
                </c:pt>
                <c:pt idx="7">
                  <c:v>10413</c:v>
                </c:pt>
                <c:pt idx="8">
                  <c:v>11016</c:v>
                </c:pt>
                <c:pt idx="9">
                  <c:v>12577.5</c:v>
                </c:pt>
                <c:pt idx="10">
                  <c:v>12700.5</c:v>
                </c:pt>
              </c:numCache>
            </c:numRef>
          </c:xVal>
          <c:yVal>
            <c:numRef>
              <c:f>'A (old)'!$L$21:$L$38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8-4941-846E-0B9B4738569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(old)'!$F$21:$F$38</c:f>
              <c:numCache>
                <c:formatCode>General</c:formatCode>
                <c:ptCount val="18"/>
                <c:pt idx="0">
                  <c:v>0</c:v>
                </c:pt>
                <c:pt idx="1">
                  <c:v>6754</c:v>
                </c:pt>
                <c:pt idx="2">
                  <c:v>6754.5</c:v>
                </c:pt>
                <c:pt idx="3">
                  <c:v>6772</c:v>
                </c:pt>
                <c:pt idx="4">
                  <c:v>6856.5</c:v>
                </c:pt>
                <c:pt idx="5">
                  <c:v>9210</c:v>
                </c:pt>
                <c:pt idx="6">
                  <c:v>9210.5</c:v>
                </c:pt>
                <c:pt idx="7">
                  <c:v>10413</c:v>
                </c:pt>
                <c:pt idx="8">
                  <c:v>11016</c:v>
                </c:pt>
                <c:pt idx="9">
                  <c:v>12577.5</c:v>
                </c:pt>
                <c:pt idx="10">
                  <c:v>12700.5</c:v>
                </c:pt>
              </c:numCache>
            </c:numRef>
          </c:xVal>
          <c:yVal>
            <c:numRef>
              <c:f>'A (old)'!$M$21:$M$38</c:f>
              <c:numCache>
                <c:formatCode>General</c:formatCode>
                <c:ptCount val="18"/>
                <c:pt idx="3">
                  <c:v>1.1063999998441432E-2</c:v>
                </c:pt>
                <c:pt idx="4">
                  <c:v>2.3565499999676831E-2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8-4941-846E-0B9B4738569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(old)'!$F$21:$F$38</c:f>
              <c:numCache>
                <c:formatCode>General</c:formatCode>
                <c:ptCount val="18"/>
                <c:pt idx="0">
                  <c:v>0</c:v>
                </c:pt>
                <c:pt idx="1">
                  <c:v>6754</c:v>
                </c:pt>
                <c:pt idx="2">
                  <c:v>6754.5</c:v>
                </c:pt>
                <c:pt idx="3">
                  <c:v>6772</c:v>
                </c:pt>
                <c:pt idx="4">
                  <c:v>6856.5</c:v>
                </c:pt>
                <c:pt idx="5">
                  <c:v>9210</c:v>
                </c:pt>
                <c:pt idx="6">
                  <c:v>9210.5</c:v>
                </c:pt>
                <c:pt idx="7">
                  <c:v>10413</c:v>
                </c:pt>
                <c:pt idx="8">
                  <c:v>11016</c:v>
                </c:pt>
                <c:pt idx="9">
                  <c:v>12577.5</c:v>
                </c:pt>
                <c:pt idx="10">
                  <c:v>12700.5</c:v>
                </c:pt>
              </c:numCache>
            </c:numRef>
          </c:xVal>
          <c:yVal>
            <c:numRef>
              <c:f>'A (old)'!$N$21:$N$38</c:f>
              <c:numCache>
                <c:formatCode>General</c:formatCode>
                <c:ptCount val="18"/>
                <c:pt idx="0">
                  <c:v>-5.4239538373666907E-2</c:v>
                </c:pt>
                <c:pt idx="1">
                  <c:v>1.4023108113290911E-3</c:v>
                </c:pt>
                <c:pt idx="2">
                  <c:v>1.4064299887931869E-3</c:v>
                </c:pt>
                <c:pt idx="3">
                  <c:v>1.5506012000365138E-3</c:v>
                </c:pt>
                <c:pt idx="4">
                  <c:v>2.2467421914685801E-3</c:v>
                </c:pt>
                <c:pt idx="5">
                  <c:v>2.1635710514964004E-2</c:v>
                </c:pt>
                <c:pt idx="6">
                  <c:v>2.16398296924281E-2</c:v>
                </c:pt>
                <c:pt idx="7">
                  <c:v>3.154645149357671E-2</c:v>
                </c:pt>
                <c:pt idx="8">
                  <c:v>3.6514179515275344E-2</c:v>
                </c:pt>
                <c:pt idx="9">
                  <c:v>4.9378370735644189E-2</c:v>
                </c:pt>
                <c:pt idx="10">
                  <c:v>5.0391688391811573E-2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8-4941-846E-0B9B4738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74336"/>
        <c:axId val="1"/>
      </c:scatterChart>
      <c:valAx>
        <c:axId val="464274336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40485018407637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3194675540765387E-3"/>
              <c:y val="0.36363731806251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274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69235438748191"/>
          <c:y val="0.92121498449057504"/>
          <c:w val="0.7221303077547919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V776 Cas / HIP 8821 - O-C Diagr.</a:t>
            </a:r>
          </a:p>
        </c:rich>
      </c:tx>
      <c:layout>
        <c:manualLayout>
          <c:xMode val="edge"/>
          <c:yMode val="edge"/>
          <c:x val="0.29707809251116335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7280834073814"/>
          <c:y val="9.3093366100571576E-2"/>
          <c:w val="0.86363704821067766"/>
          <c:h val="0.7237258461367015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B!$F$21:$F$25</c:f>
              <c:numCache>
                <c:formatCode>General</c:formatCode>
                <c:ptCount val="5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</c:numCache>
            </c:numRef>
          </c:xVal>
          <c:yVal>
            <c:numRef>
              <c:f>B!$H$21:$H$25</c:f>
              <c:numCache>
                <c:formatCode>General</c:formatCode>
                <c:ptCount val="5"/>
                <c:pt idx="0">
                  <c:v>-3.6430090040084906E-3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2-4FDA-9F35-C93F75A56AD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B!$D$21:$D$50</c:f>
                <c:numCache>
                  <c:formatCode>General</c:formatCode>
                  <c:ptCount val="30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B!$D$21:$D$50</c:f>
                <c:numCache>
                  <c:formatCode>General</c:formatCode>
                  <c:ptCount val="30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B!$I$21:$I$39</c:f>
              <c:numCache>
                <c:formatCode>General</c:formatCode>
                <c:ptCount val="19"/>
                <c:pt idx="5">
                  <c:v>2.1923275198787451E-4</c:v>
                </c:pt>
                <c:pt idx="6">
                  <c:v>-9.1456873633433133E-5</c:v>
                </c:pt>
                <c:pt idx="9">
                  <c:v>-1.2371124466881156E-3</c:v>
                </c:pt>
                <c:pt idx="10">
                  <c:v>-2.0753776334458962E-3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D2-4FDA-9F35-C93F75A56AD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B!$D$21:$D$39</c:f>
                <c:numCache>
                  <c:formatCode>General</c:formatCode>
                  <c:ptCount val="19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B!$D$21:$D$39</c:f>
                <c:numCache>
                  <c:formatCode>General</c:formatCode>
                  <c:ptCount val="19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B!$J$21:$J$39</c:f>
              <c:numCache>
                <c:formatCode>General</c:formatCode>
                <c:ptCount val="19"/>
                <c:pt idx="1">
                  <c:v>-1.7433394532417879E-3</c:v>
                </c:pt>
                <c:pt idx="2">
                  <c:v>1.7859709259937517E-3</c:v>
                </c:pt>
                <c:pt idx="3">
                  <c:v>-1.0910812998190522E-2</c:v>
                </c:pt>
                <c:pt idx="4">
                  <c:v>1.3619455057778396E-3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D2-4FDA-9F35-C93F75A56AD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B!$K$21:$K$39</c:f>
              <c:numCache>
                <c:formatCode>General</c:formatCode>
                <c:ptCount val="1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D2-4FDA-9F35-C93F75A56AD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B!$D$21:$D$2012</c:f>
                <c:numCache>
                  <c:formatCode>General</c:formatCode>
                  <c:ptCount val="1992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B!$D$21:$D$2012</c:f>
                <c:numCache>
                  <c:formatCode>General</c:formatCode>
                  <c:ptCount val="1992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B!$L$21:$L$39</c:f>
              <c:numCache>
                <c:formatCode>General</c:formatCode>
                <c:ptCount val="19"/>
                <c:pt idx="8">
                  <c:v>9.1285903181415051E-5</c:v>
                </c:pt>
                <c:pt idx="11">
                  <c:v>1.9497512403177097E-4</c:v>
                </c:pt>
                <c:pt idx="12">
                  <c:v>-6.9487116488744505E-3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D2-4FDA-9F35-C93F75A56AD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D2-4FDA-9F35-C93F75A56AD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B!$N$21:$N$39</c:f>
              <c:numCache>
                <c:formatCode>General</c:formatCode>
                <c:ptCount val="19"/>
                <c:pt idx="5">
                  <c:v>6.0175420026653973E-5</c:v>
                </c:pt>
                <c:pt idx="6">
                  <c:v>6.0186575342402487E-5</c:v>
                </c:pt>
                <c:pt idx="7">
                  <c:v>8.7015109717566974E-5</c:v>
                </c:pt>
                <c:pt idx="8">
                  <c:v>1.0046842051026901E-4</c:v>
                </c:pt>
                <c:pt idx="9">
                  <c:v>1.3161406208010652E-4</c:v>
                </c:pt>
                <c:pt idx="10">
                  <c:v>1.3530647159286306E-4</c:v>
                </c:pt>
                <c:pt idx="11">
                  <c:v>1.380506792669963E-4</c:v>
                </c:pt>
                <c:pt idx="12">
                  <c:v>1.7482975528983097E-4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D2-4FDA-9F35-C93F75A5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823056"/>
        <c:axId val="1"/>
      </c:scatterChart>
      <c:valAx>
        <c:axId val="46382305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337730510958855"/>
              <c:y val="0.87988240208712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63364309191080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823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81835225142312"/>
          <c:y val="0.92192475940507435"/>
          <c:w val="0.738636874936087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V776 Cas / HIP 8821 - O-C Diagr.</a:t>
            </a:r>
          </a:p>
        </c:rich>
      </c:tx>
      <c:layout>
        <c:manualLayout>
          <c:xMode val="edge"/>
          <c:yMode val="edge"/>
          <c:x val="0.29707809251116335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7280834073814"/>
          <c:y val="9.3093366100571576E-2"/>
          <c:w val="0.86363704821067766"/>
          <c:h val="0.7237258461367015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B!$F$21:$F$25</c:f>
              <c:numCache>
                <c:formatCode>General</c:formatCode>
                <c:ptCount val="5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</c:numCache>
            </c:numRef>
          </c:xVal>
          <c:yVal>
            <c:numRef>
              <c:f>B!$H$21:$H$25</c:f>
              <c:numCache>
                <c:formatCode>General</c:formatCode>
                <c:ptCount val="5"/>
                <c:pt idx="0">
                  <c:v>-3.6430090040084906E-3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F6-47EB-A1EE-D50016432AB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B!$D$21:$D$50</c:f>
                <c:numCache>
                  <c:formatCode>General</c:formatCode>
                  <c:ptCount val="30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B!$D$21:$D$50</c:f>
                <c:numCache>
                  <c:formatCode>General</c:formatCode>
                  <c:ptCount val="30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B!$I$21:$I$39</c:f>
              <c:numCache>
                <c:formatCode>General</c:formatCode>
                <c:ptCount val="19"/>
                <c:pt idx="5">
                  <c:v>2.1923275198787451E-4</c:v>
                </c:pt>
                <c:pt idx="6">
                  <c:v>-9.1456873633433133E-5</c:v>
                </c:pt>
                <c:pt idx="9">
                  <c:v>-1.2371124466881156E-3</c:v>
                </c:pt>
                <c:pt idx="10">
                  <c:v>-2.0753776334458962E-3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F6-47EB-A1EE-D50016432AB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B!$D$21:$D$39</c:f>
                <c:numCache>
                  <c:formatCode>General</c:formatCode>
                  <c:ptCount val="19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B!$D$21:$D$39</c:f>
                <c:numCache>
                  <c:formatCode>General</c:formatCode>
                  <c:ptCount val="19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B!$J$21:$J$39</c:f>
              <c:numCache>
                <c:formatCode>General</c:formatCode>
                <c:ptCount val="19"/>
                <c:pt idx="1">
                  <c:v>-1.7433394532417879E-3</c:v>
                </c:pt>
                <c:pt idx="2">
                  <c:v>1.7859709259937517E-3</c:v>
                </c:pt>
                <c:pt idx="3">
                  <c:v>-1.0910812998190522E-2</c:v>
                </c:pt>
                <c:pt idx="4">
                  <c:v>1.3619455057778396E-3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F6-47EB-A1EE-D50016432AB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B!$K$21:$K$39</c:f>
              <c:numCache>
                <c:formatCode>General</c:formatCode>
                <c:ptCount val="1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F6-47EB-A1EE-D50016432AB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B!$D$21:$D$2012</c:f>
                <c:numCache>
                  <c:formatCode>General</c:formatCode>
                  <c:ptCount val="1992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B!$D$21:$D$2012</c:f>
                <c:numCache>
                  <c:formatCode>General</c:formatCode>
                  <c:ptCount val="1992"/>
                  <c:pt idx="0">
                    <c:v>0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B!$L$21:$L$39</c:f>
              <c:numCache>
                <c:formatCode>General</c:formatCode>
                <c:ptCount val="19"/>
                <c:pt idx="8">
                  <c:v>9.1285903181415051E-5</c:v>
                </c:pt>
                <c:pt idx="11">
                  <c:v>1.9497512403177097E-4</c:v>
                </c:pt>
                <c:pt idx="12">
                  <c:v>-6.9487116488744505E-3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F6-47EB-A1EE-D50016432AB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F6-47EB-A1EE-D50016432AB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B!$F$21:$F$39</c:f>
              <c:numCache>
                <c:formatCode>General</c:formatCode>
                <c:ptCount val="19"/>
                <c:pt idx="0">
                  <c:v>-10413</c:v>
                </c:pt>
                <c:pt idx="1">
                  <c:v>-3659</c:v>
                </c:pt>
                <c:pt idx="2">
                  <c:v>-3658.5</c:v>
                </c:pt>
                <c:pt idx="3">
                  <c:v>-3641</c:v>
                </c:pt>
                <c:pt idx="4">
                  <c:v>-3556.5</c:v>
                </c:pt>
                <c:pt idx="5">
                  <c:v>-1203</c:v>
                </c:pt>
                <c:pt idx="6">
                  <c:v>-1202.5</c:v>
                </c:pt>
                <c:pt idx="7">
                  <c:v>0</c:v>
                </c:pt>
                <c:pt idx="8">
                  <c:v>603</c:v>
                </c:pt>
                <c:pt idx="9">
                  <c:v>1999</c:v>
                </c:pt>
                <c:pt idx="10">
                  <c:v>2164.5</c:v>
                </c:pt>
                <c:pt idx="11">
                  <c:v>2287.5</c:v>
                </c:pt>
                <c:pt idx="12">
                  <c:v>3936</c:v>
                </c:pt>
              </c:numCache>
            </c:numRef>
          </c:xVal>
          <c:yVal>
            <c:numRef>
              <c:f>B!$N$21:$N$39</c:f>
              <c:numCache>
                <c:formatCode>General</c:formatCode>
                <c:ptCount val="19"/>
                <c:pt idx="5">
                  <c:v>6.0175420026653973E-5</c:v>
                </c:pt>
                <c:pt idx="6">
                  <c:v>6.0186575342402487E-5</c:v>
                </c:pt>
                <c:pt idx="7">
                  <c:v>8.7015109717566974E-5</c:v>
                </c:pt>
                <c:pt idx="8">
                  <c:v>1.0046842051026901E-4</c:v>
                </c:pt>
                <c:pt idx="9">
                  <c:v>1.3161406208010652E-4</c:v>
                </c:pt>
                <c:pt idx="10">
                  <c:v>1.3530647159286306E-4</c:v>
                </c:pt>
                <c:pt idx="11">
                  <c:v>1.380506792669963E-4</c:v>
                </c:pt>
                <c:pt idx="12">
                  <c:v>1.7482975528983097E-4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F6-47EB-A1EE-D5001643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815512"/>
        <c:axId val="1"/>
      </c:scatterChart>
      <c:valAx>
        <c:axId val="46381551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337730510958855"/>
              <c:y val="0.87988240208712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E-3"/>
          <c:min val="-8.0000000000000002E-3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63364309191080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815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81835225142312"/>
          <c:y val="0.92192475940507435"/>
          <c:w val="0.738636874936087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18</xdr:col>
      <xdr:colOff>342900</xdr:colOff>
      <xdr:row>18</xdr:row>
      <xdr:rowOff>95250</xdr:rowOff>
    </xdr:to>
    <xdr:graphicFrame macro="">
      <xdr:nvGraphicFramePr>
        <xdr:cNvPr id="60422" name="Chart 1028">
          <a:extLst>
            <a:ext uri="{FF2B5EF4-FFF2-40B4-BE49-F238E27FC236}">
              <a16:creationId xmlns:a16="http://schemas.microsoft.com/office/drawing/2014/main" id="{273ADAA7-A4E7-1F0D-3C12-B7E9B1FF5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0</xdr:rowOff>
    </xdr:from>
    <xdr:to>
      <xdr:col>15</xdr:col>
      <xdr:colOff>257175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2E7F8E8-D448-3E78-A9E2-CA548537F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25</xdr:col>
      <xdr:colOff>381000</xdr:colOff>
      <xdr:row>18</xdr:row>
      <xdr:rowOff>104775</xdr:rowOff>
    </xdr:to>
    <xdr:graphicFrame macro="">
      <xdr:nvGraphicFramePr>
        <xdr:cNvPr id="56326" name="Chart 2">
          <a:extLst>
            <a:ext uri="{FF2B5EF4-FFF2-40B4-BE49-F238E27FC236}">
              <a16:creationId xmlns:a16="http://schemas.microsoft.com/office/drawing/2014/main" id="{E9F6E936-90E6-4E6A-7861-F964B43B3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0</xdr:row>
      <xdr:rowOff>0</xdr:rowOff>
    </xdr:from>
    <xdr:to>
      <xdr:col>16</xdr:col>
      <xdr:colOff>66675</xdr:colOff>
      <xdr:row>18</xdr:row>
      <xdr:rowOff>104775</xdr:rowOff>
    </xdr:to>
    <xdr:graphicFrame macro="">
      <xdr:nvGraphicFramePr>
        <xdr:cNvPr id="56327" name="Chart 3">
          <a:extLst>
            <a:ext uri="{FF2B5EF4-FFF2-40B4-BE49-F238E27FC236}">
              <a16:creationId xmlns:a16="http://schemas.microsoft.com/office/drawing/2014/main" id="{547DF032-4D6E-AF21-2A8E-FA882599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8" TargetMode="External"/><Relationship Id="rId13" Type="http://schemas.openxmlformats.org/officeDocument/2006/relationships/hyperlink" Target="http://www.konkoly.hu/cgi-bin/IBVS?5980" TargetMode="External"/><Relationship Id="rId18" Type="http://schemas.openxmlformats.org/officeDocument/2006/relationships/hyperlink" Target="http://www.bav-astro.de/sfs/BAVM_link.php?BAVMnr=225" TargetMode="External"/><Relationship Id="rId26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5592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760" TargetMode="External"/><Relationship Id="rId12" Type="http://schemas.openxmlformats.org/officeDocument/2006/relationships/hyperlink" Target="http://www.konkoly.hu/cgi-bin/IBVS?5966" TargetMode="External"/><Relationship Id="rId17" Type="http://schemas.openxmlformats.org/officeDocument/2006/relationships/hyperlink" Target="http://www.konkoly.hu/cgi-bin/IBVS?6044" TargetMode="External"/><Relationship Id="rId25" Type="http://schemas.openxmlformats.org/officeDocument/2006/relationships/hyperlink" Target="http://www.konkoly.hu/cgi-bin/IBVS?6044" TargetMode="External"/><Relationship Id="rId2" Type="http://schemas.openxmlformats.org/officeDocument/2006/relationships/hyperlink" Target="http://www.konkoly.hu/cgi-bin/IBVS?5407" TargetMode="External"/><Relationship Id="rId16" Type="http://schemas.openxmlformats.org/officeDocument/2006/relationships/hyperlink" Target="http://www.konkoly.hu/cgi-bin/IBVS?5980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konkoly.hu/cgi-bin/IBVS?6125" TargetMode="External"/><Relationship Id="rId1" Type="http://schemas.openxmlformats.org/officeDocument/2006/relationships/hyperlink" Target="http://www.konkoly.hu/cgi-bin/IBVS?5407" TargetMode="External"/><Relationship Id="rId6" Type="http://schemas.openxmlformats.org/officeDocument/2006/relationships/hyperlink" Target="http://www.konkoly.hu/cgi-bin/IBVS?5736" TargetMode="External"/><Relationship Id="rId11" Type="http://schemas.openxmlformats.org/officeDocument/2006/relationships/hyperlink" Target="http://www.bav-astro.de/sfs/BAVM_link.php?BAVMnr=212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777" TargetMode="External"/><Relationship Id="rId15" Type="http://schemas.openxmlformats.org/officeDocument/2006/relationships/hyperlink" Target="http://www.konkoly.hu/cgi-bin/IBVS?5980" TargetMode="External"/><Relationship Id="rId23" Type="http://schemas.openxmlformats.org/officeDocument/2006/relationships/hyperlink" Target="http://www.konkoly.hu/cgi-bin/IBVS?6044" TargetMode="External"/><Relationship Id="rId28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5875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02" TargetMode="External"/><Relationship Id="rId9" Type="http://schemas.openxmlformats.org/officeDocument/2006/relationships/hyperlink" Target="http://www.konkoly.hu/cgi-bin/IBVS?5887" TargetMode="External"/><Relationship Id="rId14" Type="http://schemas.openxmlformats.org/officeDocument/2006/relationships/hyperlink" Target="http://www.konkoly.hu/cgi-bin/IBVS?5980" TargetMode="External"/><Relationship Id="rId22" Type="http://schemas.openxmlformats.org/officeDocument/2006/relationships/hyperlink" Target="http://www.konkoly.hu/cgi-bin/IBVS?6114" TargetMode="External"/><Relationship Id="rId27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2"/>
  </sheetPr>
  <dimension ref="A1:U191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3" width="8.5703125" customWidth="1"/>
    <col min="14" max="14" width="8" customWidth="1"/>
    <col min="15" max="15" width="7.7109375" customWidth="1"/>
    <col min="16" max="16" width="10.140625" style="12" bestFit="1" customWidth="1"/>
  </cols>
  <sheetData>
    <row r="1" spans="1:6" ht="20.25" x14ac:dyDescent="0.3">
      <c r="A1" s="1" t="s">
        <v>213</v>
      </c>
    </row>
    <row r="2" spans="1:6" x14ac:dyDescent="0.2">
      <c r="A2" t="s">
        <v>25</v>
      </c>
      <c r="B2" t="s">
        <v>43</v>
      </c>
      <c r="C2" s="28" t="s">
        <v>40</v>
      </c>
    </row>
    <row r="3" spans="1:6" ht="13.5" thickBot="1" x14ac:dyDescent="0.25"/>
    <row r="4" spans="1:6" ht="13.5" thickBot="1" x14ac:dyDescent="0.25">
      <c r="A4" s="7" t="s">
        <v>26</v>
      </c>
      <c r="C4" s="10">
        <v>48500.084999999999</v>
      </c>
      <c r="D4" s="11">
        <v>0.440413</v>
      </c>
    </row>
    <row r="5" spans="1:6" x14ac:dyDescent="0.2">
      <c r="A5" s="40" t="s">
        <v>49</v>
      </c>
      <c r="B5" s="41"/>
      <c r="C5" s="42">
        <v>-9.5</v>
      </c>
      <c r="D5" s="41" t="s">
        <v>50</v>
      </c>
    </row>
    <row r="6" spans="1:6" x14ac:dyDescent="0.2">
      <c r="A6" s="7" t="s">
        <v>1</v>
      </c>
    </row>
    <row r="7" spans="1:6" x14ac:dyDescent="0.2">
      <c r="A7" t="s">
        <v>2</v>
      </c>
      <c r="C7">
        <v>53086.1374</v>
      </c>
    </row>
    <row r="8" spans="1:6" x14ac:dyDescent="0.2">
      <c r="A8" t="s">
        <v>3</v>
      </c>
      <c r="C8">
        <v>0.44042137924584596</v>
      </c>
    </row>
    <row r="9" spans="1:6" x14ac:dyDescent="0.2">
      <c r="A9" s="52" t="s">
        <v>56</v>
      </c>
      <c r="B9" s="53">
        <v>32</v>
      </c>
      <c r="C9" s="44" t="str">
        <f>"F"&amp;B9</f>
        <v>F32</v>
      </c>
      <c r="D9" s="14" t="str">
        <f>"G"&amp;B9</f>
        <v>G32</v>
      </c>
    </row>
    <row r="10" spans="1:6" ht="13.5" thickBot="1" x14ac:dyDescent="0.25">
      <c r="A10" s="41"/>
      <c r="B10" s="41"/>
      <c r="C10" s="6" t="s">
        <v>20</v>
      </c>
      <c r="D10" s="6" t="s">
        <v>21</v>
      </c>
      <c r="E10" s="41"/>
    </row>
    <row r="11" spans="1:6" x14ac:dyDescent="0.2">
      <c r="A11" s="41" t="s">
        <v>16</v>
      </c>
      <c r="B11" s="41"/>
      <c r="C11" s="43">
        <f ca="1">INTERCEPT(INDIRECT($D$9):G990,INDIRECT($C$9):F990)</f>
        <v>1.8107976525087249E-2</v>
      </c>
      <c r="D11" s="5"/>
      <c r="E11" s="41"/>
    </row>
    <row r="12" spans="1:6" x14ac:dyDescent="0.2">
      <c r="A12" s="41" t="s">
        <v>17</v>
      </c>
      <c r="B12" s="41"/>
      <c r="C12" s="43">
        <f ca="1">SLOPE(INDIRECT($D$9):G990,INDIRECT($C$9):F990)</f>
        <v>-6.2439061218280155E-6</v>
      </c>
      <c r="D12" s="5"/>
      <c r="E12" s="41"/>
    </row>
    <row r="13" spans="1:6" x14ac:dyDescent="0.2">
      <c r="A13" s="41" t="s">
        <v>19</v>
      </c>
      <c r="B13" s="41"/>
      <c r="C13" s="5" t="s">
        <v>14</v>
      </c>
    </row>
    <row r="14" spans="1:6" x14ac:dyDescent="0.2">
      <c r="A14" s="41"/>
      <c r="B14" s="41"/>
      <c r="C14" s="41"/>
    </row>
    <row r="15" spans="1:6" x14ac:dyDescent="0.2">
      <c r="A15" s="45" t="s">
        <v>18</v>
      </c>
      <c r="B15" s="41"/>
      <c r="C15" s="17">
        <f ca="1">(C7+C11)+(C8+C12)*INT(MAX(F21:F3531))</f>
        <v>59489.351160680773</v>
      </c>
      <c r="E15" s="46" t="s">
        <v>59</v>
      </c>
      <c r="F15" s="42">
        <v>1</v>
      </c>
    </row>
    <row r="16" spans="1:6" x14ac:dyDescent="0.2">
      <c r="A16" s="48" t="s">
        <v>4</v>
      </c>
      <c r="B16" s="41"/>
      <c r="C16" s="18">
        <f ca="1">+C8+C12</f>
        <v>0.44041513533972415</v>
      </c>
      <c r="E16" s="46" t="s">
        <v>46</v>
      </c>
      <c r="F16" s="47">
        <f ca="1">NOW()+15018.5+$C$5/24</f>
        <v>60329.707939467589</v>
      </c>
    </row>
    <row r="17" spans="1:21" ht="13.5" thickBot="1" x14ac:dyDescent="0.25">
      <c r="A17" s="46" t="s">
        <v>44</v>
      </c>
      <c r="B17" s="41"/>
      <c r="C17" s="41">
        <f>COUNT(C21:C2189)</f>
        <v>44</v>
      </c>
      <c r="E17" s="46" t="s">
        <v>60</v>
      </c>
      <c r="F17" s="47">
        <f ca="1">ROUND(2*(F16-$C$7)/$C$8,0)/2+F15</f>
        <v>16448</v>
      </c>
      <c r="P17"/>
      <c r="Q17">
        <f>SUM(Q21:Q25)</f>
        <v>4.6999754743577677E-4</v>
      </c>
    </row>
    <row r="18" spans="1:21" ht="14.25" thickTop="1" thickBot="1" x14ac:dyDescent="0.25">
      <c r="A18" s="48" t="s">
        <v>5</v>
      </c>
      <c r="B18" s="41"/>
      <c r="C18" s="50">
        <f ca="1">+C15</f>
        <v>59489.351160680773</v>
      </c>
      <c r="D18" s="51">
        <f ca="1">+C16</f>
        <v>0.44041513533972415</v>
      </c>
      <c r="E18" s="46" t="s">
        <v>47</v>
      </c>
      <c r="F18" s="14">
        <f ca="1">ROUND(2*(F16-$C$15)/$C$16,0)/2+F15</f>
        <v>1909</v>
      </c>
      <c r="P18"/>
      <c r="Q18">
        <f>COUNT(Q21:Q25)</f>
        <v>5</v>
      </c>
    </row>
    <row r="19" spans="1:21" ht="13.5" thickTop="1" x14ac:dyDescent="0.2">
      <c r="E19" s="46" t="s">
        <v>48</v>
      </c>
      <c r="F19" s="49">
        <f ca="1">+$C$15+$C$16*F18-15018.5-$C$5/24</f>
        <v>45311.999487377645</v>
      </c>
      <c r="P19"/>
      <c r="Q19">
        <f>SQRT(Q17/Q18)</f>
        <v>9.6953344185311801E-3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75</v>
      </c>
      <c r="I20" s="9" t="s">
        <v>78</v>
      </c>
      <c r="J20" s="9" t="s">
        <v>72</v>
      </c>
      <c r="K20" s="9" t="s">
        <v>70</v>
      </c>
      <c r="L20" s="9" t="s">
        <v>206</v>
      </c>
      <c r="M20" s="9" t="s">
        <v>207</v>
      </c>
      <c r="N20" s="9" t="s">
        <v>23</v>
      </c>
      <c r="O20" s="8" t="s">
        <v>22</v>
      </c>
      <c r="P20" s="6" t="s">
        <v>15</v>
      </c>
      <c r="U20" s="84" t="s">
        <v>209</v>
      </c>
    </row>
    <row r="21" spans="1:21" x14ac:dyDescent="0.2">
      <c r="A21" s="7" t="s">
        <v>27</v>
      </c>
      <c r="B21" s="5"/>
      <c r="C21" s="24">
        <v>48500.084999999999</v>
      </c>
      <c r="D21" s="24" t="s">
        <v>14</v>
      </c>
      <c r="E21">
        <f t="shared" ref="E21:E59" si="0">+(C21-C$7)/C$8</f>
        <v>-10412.87416122467</v>
      </c>
      <c r="F21">
        <f t="shared" ref="F21:F59" si="1">ROUND(2*E21,0)/2</f>
        <v>-10413</v>
      </c>
      <c r="I21" s="14"/>
      <c r="J21" s="14"/>
      <c r="P21" s="12">
        <f t="shared" ref="P21:P59" si="2">+C21-15018.5</f>
        <v>33481.584999999999</v>
      </c>
      <c r="Q21">
        <f>+(G21-N21)^2</f>
        <v>0</v>
      </c>
      <c r="U21" s="85">
        <v>-3.6430090040084906E-3</v>
      </c>
    </row>
    <row r="22" spans="1:21" x14ac:dyDescent="0.2">
      <c r="A22" s="16" t="s">
        <v>33</v>
      </c>
      <c r="B22" s="31" t="s">
        <v>34</v>
      </c>
      <c r="C22" s="23">
        <v>51474.633829999999</v>
      </c>
      <c r="D22" s="23"/>
      <c r="E22">
        <f t="shared" si="0"/>
        <v>-3659.0039583442872</v>
      </c>
      <c r="F22">
        <f t="shared" si="1"/>
        <v>-3659</v>
      </c>
      <c r="G22">
        <f>+C22-(C$7+F22*C$8)</f>
        <v>-1.7433394532417879E-3</v>
      </c>
      <c r="J22">
        <f>G22</f>
        <v>-1.7433394532417879E-3</v>
      </c>
      <c r="P22" s="12">
        <f t="shared" si="2"/>
        <v>36456.133829999999</v>
      </c>
      <c r="Q22">
        <f>+(G22-N22)^2</f>
        <v>3.0392324492293756E-6</v>
      </c>
      <c r="U22" s="85"/>
    </row>
    <row r="23" spans="1:21" x14ac:dyDescent="0.2">
      <c r="A23" s="16" t="s">
        <v>33</v>
      </c>
      <c r="B23" s="31" t="s">
        <v>35</v>
      </c>
      <c r="C23" s="23">
        <v>51474.85757</v>
      </c>
      <c r="D23" s="23"/>
      <c r="E23">
        <f t="shared" si="0"/>
        <v>-3658.4959448586919</v>
      </c>
      <c r="F23">
        <f t="shared" si="1"/>
        <v>-3658.5</v>
      </c>
      <c r="G23">
        <f>+C23-(C$7+F23*C$8)</f>
        <v>1.7859709259937517E-3</v>
      </c>
      <c r="J23">
        <f>G23</f>
        <v>1.7859709259937517E-3</v>
      </c>
      <c r="P23" s="12">
        <f t="shared" si="2"/>
        <v>36456.35757</v>
      </c>
      <c r="Q23">
        <f>+(G23-N23)^2</f>
        <v>3.189692148494979E-6</v>
      </c>
      <c r="U23" s="85"/>
    </row>
    <row r="24" spans="1:21" x14ac:dyDescent="0.2">
      <c r="A24" s="16" t="s">
        <v>33</v>
      </c>
      <c r="B24" s="31" t="s">
        <v>35</v>
      </c>
      <c r="C24" s="23">
        <v>51482.572899999999</v>
      </c>
      <c r="D24" s="23"/>
      <c r="E24">
        <f t="shared" si="0"/>
        <v>-3640.9778806511586</v>
      </c>
      <c r="F24">
        <f t="shared" si="1"/>
        <v>-3641</v>
      </c>
      <c r="H24" s="14"/>
      <c r="I24" s="14"/>
      <c r="P24" s="12">
        <f t="shared" si="2"/>
        <v>36464.072899999999</v>
      </c>
      <c r="Q24">
        <f>+(G24-N24)^2</f>
        <v>0</v>
      </c>
      <c r="U24" s="85">
        <v>-1.0910812998190522E-2</v>
      </c>
    </row>
    <row r="25" spans="1:21" x14ac:dyDescent="0.2">
      <c r="A25" s="16" t="s">
        <v>33</v>
      </c>
      <c r="B25" s="31" t="s">
        <v>34</v>
      </c>
      <c r="C25" s="23">
        <v>51519.800300000003</v>
      </c>
      <c r="D25" s="23"/>
      <c r="E25">
        <f t="shared" si="0"/>
        <v>-3556.4511029916598</v>
      </c>
      <c r="F25">
        <f t="shared" si="1"/>
        <v>-3556.5</v>
      </c>
      <c r="P25" s="12">
        <f t="shared" si="2"/>
        <v>36501.300300000003</v>
      </c>
      <c r="Q25">
        <f>+(U25-N25)^2</f>
        <v>4.6376862283805244E-4</v>
      </c>
      <c r="U25" s="86">
        <f>+C25-(C$7+F25*C$8)</f>
        <v>2.1535287851293106E-2</v>
      </c>
    </row>
    <row r="26" spans="1:21" x14ac:dyDescent="0.2">
      <c r="A26" s="16" t="s">
        <v>29</v>
      </c>
      <c r="B26" s="31" t="s">
        <v>28</v>
      </c>
      <c r="C26" s="23">
        <v>52556.310700000002</v>
      </c>
      <c r="D26" s="23">
        <v>5.0000000000000001E-4</v>
      </c>
      <c r="E26">
        <f t="shared" si="0"/>
        <v>-1202.9995022204525</v>
      </c>
      <c r="F26">
        <f t="shared" si="1"/>
        <v>-1203</v>
      </c>
      <c r="G26">
        <f t="shared" ref="G26:G51" si="3">+C26-(C$7+F26*C$8)</f>
        <v>2.1923275198787451E-4</v>
      </c>
      <c r="J26">
        <f>G26</f>
        <v>2.1923275198787451E-4</v>
      </c>
      <c r="N26">
        <f t="shared" ref="N26:N59" ca="1" si="4">+C$11+C$12*F26</f>
        <v>2.5619395589646352E-2</v>
      </c>
      <c r="P26" s="12">
        <f t="shared" si="2"/>
        <v>37537.810700000002</v>
      </c>
      <c r="Q26">
        <f t="shared" ref="Q26:Q32" ca="1" si="5">+(G26-N26)^2</f>
        <v>6.4516827217956675E-4</v>
      </c>
      <c r="U26" s="85"/>
    </row>
    <row r="27" spans="1:21" x14ac:dyDescent="0.2">
      <c r="A27" s="16" t="s">
        <v>29</v>
      </c>
      <c r="B27" s="31" t="s">
        <v>30</v>
      </c>
      <c r="C27" s="23">
        <v>52556.530599999998</v>
      </c>
      <c r="D27" s="23">
        <v>4.0000000000000002E-4</v>
      </c>
      <c r="E27">
        <f t="shared" si="0"/>
        <v>-1202.5002076576568</v>
      </c>
      <c r="F27">
        <f t="shared" si="1"/>
        <v>-1202.5</v>
      </c>
      <c r="G27">
        <f t="shared" si="3"/>
        <v>-9.1456873633433133E-5</v>
      </c>
      <c r="J27">
        <f>G27</f>
        <v>-9.1456873633433133E-5</v>
      </c>
      <c r="N27">
        <f t="shared" ca="1" si="4"/>
        <v>2.5616273636585439E-2</v>
      </c>
      <c r="P27" s="12">
        <f t="shared" si="2"/>
        <v>37538.030599999998</v>
      </c>
      <c r="Q27">
        <f t="shared" ca="1" si="5"/>
        <v>6.6088740798603827E-4</v>
      </c>
      <c r="U27" s="85"/>
    </row>
    <row r="28" spans="1:21" x14ac:dyDescent="0.2">
      <c r="A28" s="16" t="s">
        <v>36</v>
      </c>
      <c r="B28" s="31" t="s">
        <v>28</v>
      </c>
      <c r="C28" s="23">
        <v>53086.1374</v>
      </c>
      <c r="D28" s="23">
        <v>1E-4</v>
      </c>
      <c r="E28">
        <f t="shared" si="0"/>
        <v>0</v>
      </c>
      <c r="F28">
        <f t="shared" si="1"/>
        <v>0</v>
      </c>
      <c r="G28">
        <f t="shared" si="3"/>
        <v>0</v>
      </c>
      <c r="K28">
        <f>G28</f>
        <v>0</v>
      </c>
      <c r="N28">
        <f t="shared" ca="1" si="4"/>
        <v>1.8107976525087249E-2</v>
      </c>
      <c r="P28" s="12">
        <f t="shared" si="2"/>
        <v>38067.6374</v>
      </c>
      <c r="Q28">
        <f t="shared" ca="1" si="5"/>
        <v>3.278988138331109E-4</v>
      </c>
      <c r="U28" s="85"/>
    </row>
    <row r="29" spans="1:21" x14ac:dyDescent="0.2">
      <c r="A29" s="32" t="s">
        <v>41</v>
      </c>
      <c r="B29" s="31" t="s">
        <v>28</v>
      </c>
      <c r="C29" s="23">
        <v>53351.711582971147</v>
      </c>
      <c r="D29" s="23">
        <v>1E-4</v>
      </c>
      <c r="E29">
        <f t="shared" si="0"/>
        <v>603.00020726946286</v>
      </c>
      <c r="F29">
        <f t="shared" si="1"/>
        <v>603</v>
      </c>
      <c r="G29">
        <f t="shared" si="3"/>
        <v>9.1285903181415051E-5</v>
      </c>
      <c r="K29">
        <f>G29</f>
        <v>9.1285903181415051E-5</v>
      </c>
      <c r="N29">
        <f t="shared" ca="1" si="4"/>
        <v>1.4342901133624957E-2</v>
      </c>
      <c r="P29" s="12">
        <f t="shared" si="2"/>
        <v>38333.211582971147</v>
      </c>
      <c r="Q29">
        <f t="shared" ca="1" si="5"/>
        <v>2.0310853667661032E-4</v>
      </c>
      <c r="U29" s="85"/>
    </row>
    <row r="30" spans="1:21" x14ac:dyDescent="0.2">
      <c r="A30" s="35" t="s">
        <v>54</v>
      </c>
      <c r="B30" s="36" t="s">
        <v>28</v>
      </c>
      <c r="C30" s="38">
        <v>53966.538500000002</v>
      </c>
      <c r="D30" s="37">
        <v>6.9999999999999999E-4</v>
      </c>
      <c r="E30">
        <f t="shared" si="0"/>
        <v>1998.9971910708662</v>
      </c>
      <c r="F30">
        <f t="shared" si="1"/>
        <v>1999</v>
      </c>
      <c r="G30">
        <f t="shared" si="3"/>
        <v>-1.2371124466881156E-3</v>
      </c>
      <c r="K30">
        <f>G30</f>
        <v>-1.2371124466881156E-3</v>
      </c>
      <c r="N30">
        <f t="shared" ca="1" si="4"/>
        <v>5.6264081875530472E-3</v>
      </c>
      <c r="P30" s="12">
        <f t="shared" si="2"/>
        <v>38948.038500000002</v>
      </c>
      <c r="Q30">
        <f t="shared" ca="1" si="5"/>
        <v>4.7107915496654216E-5</v>
      </c>
      <c r="U30" s="85"/>
    </row>
    <row r="31" spans="1:21" x14ac:dyDescent="0.2">
      <c r="A31" s="21" t="s">
        <v>45</v>
      </c>
      <c r="B31" s="22" t="s">
        <v>28</v>
      </c>
      <c r="C31" s="30">
        <v>54039.4274</v>
      </c>
      <c r="D31" s="23">
        <v>4.0000000000000002E-4</v>
      </c>
      <c r="E31">
        <f t="shared" si="0"/>
        <v>2164.4952877454853</v>
      </c>
      <c r="F31">
        <f t="shared" si="1"/>
        <v>2164.5</v>
      </c>
      <c r="G31">
        <f t="shared" si="3"/>
        <v>-2.0753776334458962E-3</v>
      </c>
      <c r="K31">
        <f>G31</f>
        <v>-2.0753776334458962E-3</v>
      </c>
      <c r="N31">
        <f t="shared" ca="1" si="4"/>
        <v>4.5930417243905102E-3</v>
      </c>
      <c r="P31" s="12">
        <f t="shared" si="2"/>
        <v>39020.9274</v>
      </c>
      <c r="Q31">
        <f t="shared" ca="1" si="5"/>
        <v>4.4467816731967308E-5</v>
      </c>
      <c r="U31" s="85"/>
    </row>
    <row r="32" spans="1:21" x14ac:dyDescent="0.2">
      <c r="A32" s="34" t="s">
        <v>55</v>
      </c>
      <c r="B32" s="5"/>
      <c r="C32" s="24">
        <v>54093.601499999997</v>
      </c>
      <c r="D32" s="24">
        <v>2.9999999999999997E-4</v>
      </c>
      <c r="E32">
        <f t="shared" si="0"/>
        <v>2287.5004427013173</v>
      </c>
      <c r="F32">
        <f t="shared" si="1"/>
        <v>2287.5</v>
      </c>
      <c r="G32">
        <f t="shared" si="3"/>
        <v>1.9497512403177097E-4</v>
      </c>
      <c r="K32">
        <f>G32</f>
        <v>1.9497512403177097E-4</v>
      </c>
      <c r="N32">
        <f t="shared" ca="1" si="4"/>
        <v>3.8250412714056631E-3</v>
      </c>
      <c r="P32" s="12">
        <f t="shared" si="2"/>
        <v>39075.101499999997</v>
      </c>
      <c r="Q32">
        <f t="shared" ca="1" si="5"/>
        <v>1.3177380234309932E-5</v>
      </c>
      <c r="U32" s="85"/>
    </row>
    <row r="33" spans="1:21" x14ac:dyDescent="0.2">
      <c r="A33" s="60" t="s">
        <v>62</v>
      </c>
      <c r="B33" s="61" t="s">
        <v>30</v>
      </c>
      <c r="C33" s="60">
        <v>54700.496200000001</v>
      </c>
      <c r="D33" s="60">
        <v>4.0000000000000002E-4</v>
      </c>
      <c r="E33">
        <f t="shared" si="0"/>
        <v>3665.4869088424898</v>
      </c>
      <c r="F33">
        <f t="shared" si="1"/>
        <v>3665.5</v>
      </c>
      <c r="G33">
        <f t="shared" si="3"/>
        <v>-5.7656256467453204E-3</v>
      </c>
      <c r="J33">
        <f>G33</f>
        <v>-5.7656256467453204E-3</v>
      </c>
      <c r="N33">
        <f t="shared" ca="1" si="4"/>
        <v>-4.7790613644733415E-3</v>
      </c>
      <c r="P33" s="12">
        <f t="shared" si="2"/>
        <v>39681.996200000001</v>
      </c>
      <c r="Q33">
        <f ca="1">+(G33-N33)^2</f>
        <v>9.7330908305482493E-7</v>
      </c>
      <c r="U33" s="85"/>
    </row>
    <row r="34" spans="1:21" x14ac:dyDescent="0.2">
      <c r="A34" s="23" t="s">
        <v>58</v>
      </c>
      <c r="B34" s="5" t="s">
        <v>28</v>
      </c>
      <c r="C34" s="59">
        <v>54788.3554</v>
      </c>
      <c r="D34" s="23">
        <v>2.0000000000000001E-4</v>
      </c>
      <c r="E34">
        <f t="shared" si="0"/>
        <v>3864.9758622408112</v>
      </c>
      <c r="F34">
        <f t="shared" si="1"/>
        <v>3865</v>
      </c>
      <c r="G34">
        <f t="shared" si="3"/>
        <v>-1.0630785196553916E-2</v>
      </c>
      <c r="J34">
        <f>G34</f>
        <v>-1.0630785196553916E-2</v>
      </c>
      <c r="N34">
        <f t="shared" ca="1" si="4"/>
        <v>-6.0247206357780317E-3</v>
      </c>
      <c r="P34" s="12">
        <f t="shared" si="2"/>
        <v>39769.8554</v>
      </c>
      <c r="U34" s="85"/>
    </row>
    <row r="35" spans="1:21" x14ac:dyDescent="0.2">
      <c r="A35" s="7" t="s">
        <v>57</v>
      </c>
      <c r="C35" s="39">
        <v>54819.629000000001</v>
      </c>
      <c r="D35" s="24">
        <v>2.0000000000000001E-4</v>
      </c>
      <c r="E35">
        <f t="shared" si="0"/>
        <v>3935.9842225832444</v>
      </c>
      <c r="F35">
        <f t="shared" si="1"/>
        <v>3936</v>
      </c>
      <c r="G35">
        <f t="shared" si="3"/>
        <v>-6.9487116488744505E-3</v>
      </c>
      <c r="K35">
        <f t="shared" ref="K35:K48" si="6">G35</f>
        <v>-6.9487116488744505E-3</v>
      </c>
      <c r="N35">
        <f t="shared" ca="1" si="4"/>
        <v>-6.4680379704278208E-3</v>
      </c>
      <c r="P35" s="12">
        <f t="shared" si="2"/>
        <v>39801.129000000001</v>
      </c>
      <c r="Q35">
        <f ca="1">+(G35-N35)^2</f>
        <v>2.3104718515141392E-7</v>
      </c>
      <c r="U35" s="85"/>
    </row>
    <row r="36" spans="1:21" x14ac:dyDescent="0.2">
      <c r="A36" s="82" t="s">
        <v>135</v>
      </c>
      <c r="B36" s="83" t="s">
        <v>28</v>
      </c>
      <c r="C36" s="82">
        <v>55154.345099999999</v>
      </c>
      <c r="D36" s="82" t="s">
        <v>78</v>
      </c>
      <c r="E36">
        <f t="shared" si="0"/>
        <v>4695.9748038151265</v>
      </c>
      <c r="F36">
        <f t="shared" si="1"/>
        <v>4696</v>
      </c>
      <c r="G36">
        <f t="shared" si="3"/>
        <v>-1.1096938491391484E-2</v>
      </c>
      <c r="K36">
        <f t="shared" si="6"/>
        <v>-1.1096938491391484E-2</v>
      </c>
      <c r="N36">
        <f t="shared" ca="1" si="4"/>
        <v>-1.1213406623017112E-2</v>
      </c>
      <c r="P36" s="12">
        <f t="shared" si="2"/>
        <v>40135.845099999999</v>
      </c>
      <c r="U36" s="85"/>
    </row>
    <row r="37" spans="1:21" x14ac:dyDescent="0.2">
      <c r="A37" s="58" t="s">
        <v>61</v>
      </c>
      <c r="B37" s="55"/>
      <c r="C37" s="25">
        <v>55202.570500000002</v>
      </c>
      <c r="D37" s="25">
        <v>5.0000000000000001E-4</v>
      </c>
      <c r="E37">
        <f t="shared" si="0"/>
        <v>4805.4731212732431</v>
      </c>
      <c r="F37">
        <f t="shared" si="1"/>
        <v>4805.5</v>
      </c>
      <c r="G37">
        <f t="shared" si="3"/>
        <v>-1.183796591067221E-2</v>
      </c>
      <c r="K37">
        <f t="shared" si="6"/>
        <v>-1.183796591067221E-2</v>
      </c>
      <c r="N37">
        <f t="shared" ca="1" si="4"/>
        <v>-1.189711434335728E-2</v>
      </c>
      <c r="P37" s="12">
        <f t="shared" si="2"/>
        <v>40184.070500000002</v>
      </c>
      <c r="Q37">
        <f ca="1">+(G37-N37)^2</f>
        <v>3.4985370891002867E-9</v>
      </c>
      <c r="U37" s="85"/>
    </row>
    <row r="38" spans="1:21" x14ac:dyDescent="0.2">
      <c r="A38" s="82" t="s">
        <v>208</v>
      </c>
      <c r="B38" s="83" t="s">
        <v>30</v>
      </c>
      <c r="C38" s="82">
        <v>55223.268799999998</v>
      </c>
      <c r="D38" s="82" t="s">
        <v>78</v>
      </c>
      <c r="E38">
        <f t="shared" si="0"/>
        <v>4852.4697044896138</v>
      </c>
      <c r="F38">
        <f t="shared" si="1"/>
        <v>4852.5</v>
      </c>
      <c r="G38">
        <f t="shared" si="3"/>
        <v>-1.3342790472961497E-2</v>
      </c>
      <c r="K38">
        <f t="shared" si="6"/>
        <v>-1.3342790472961497E-2</v>
      </c>
      <c r="N38">
        <f t="shared" ca="1" si="4"/>
        <v>-1.2190577931083194E-2</v>
      </c>
      <c r="P38" s="12">
        <f t="shared" si="2"/>
        <v>40204.768799999998</v>
      </c>
      <c r="U38" s="85"/>
    </row>
    <row r="39" spans="1:21" x14ac:dyDescent="0.2">
      <c r="A39" s="82" t="s">
        <v>208</v>
      </c>
      <c r="B39" s="83" t="s">
        <v>28</v>
      </c>
      <c r="C39" s="82">
        <v>55397.450900000003</v>
      </c>
      <c r="D39" s="82" t="s">
        <v>78</v>
      </c>
      <c r="E39">
        <f t="shared" si="0"/>
        <v>5247.9593610050761</v>
      </c>
      <c r="F39">
        <f t="shared" si="1"/>
        <v>5248</v>
      </c>
      <c r="G39">
        <f t="shared" si="3"/>
        <v>-1.7898282196256332E-2</v>
      </c>
      <c r="K39">
        <f t="shared" si="6"/>
        <v>-1.7898282196256332E-2</v>
      </c>
      <c r="N39">
        <f t="shared" ca="1" si="4"/>
        <v>-1.4660042802266175E-2</v>
      </c>
      <c r="P39" s="12">
        <f t="shared" si="2"/>
        <v>40378.950900000003</v>
      </c>
      <c r="U39" s="85"/>
    </row>
    <row r="40" spans="1:21" x14ac:dyDescent="0.2">
      <c r="A40" s="82" t="s">
        <v>208</v>
      </c>
      <c r="B40" s="83" t="s">
        <v>30</v>
      </c>
      <c r="C40" s="82">
        <v>55421.452700000002</v>
      </c>
      <c r="D40" s="82" t="s">
        <v>78</v>
      </c>
      <c r="E40">
        <f t="shared" si="0"/>
        <v>5302.4567154275555</v>
      </c>
      <c r="F40">
        <f t="shared" si="1"/>
        <v>5302.5</v>
      </c>
      <c r="G40">
        <f t="shared" si="3"/>
        <v>-1.9063451094552875E-2</v>
      </c>
      <c r="K40">
        <f t="shared" si="6"/>
        <v>-1.9063451094552875E-2</v>
      </c>
      <c r="N40">
        <f t="shared" ca="1" si="4"/>
        <v>-1.5000335685905801E-2</v>
      </c>
      <c r="P40" s="12">
        <f t="shared" si="2"/>
        <v>40402.952700000002</v>
      </c>
      <c r="U40" s="85"/>
    </row>
    <row r="41" spans="1:21" x14ac:dyDescent="0.2">
      <c r="A41" s="82" t="s">
        <v>208</v>
      </c>
      <c r="B41" s="83" t="s">
        <v>28</v>
      </c>
      <c r="C41" s="82">
        <v>55475.407800000001</v>
      </c>
      <c r="D41" s="82" t="s">
        <v>78</v>
      </c>
      <c r="E41">
        <f t="shared" si="0"/>
        <v>5424.9646193181179</v>
      </c>
      <c r="F41">
        <f t="shared" si="1"/>
        <v>5425</v>
      </c>
      <c r="G41">
        <f t="shared" si="3"/>
        <v>-1.5582408712361939E-2</v>
      </c>
      <c r="K41">
        <f t="shared" si="6"/>
        <v>-1.5582408712361939E-2</v>
      </c>
      <c r="N41">
        <f t="shared" ca="1" si="4"/>
        <v>-1.5765214185829733E-2</v>
      </c>
      <c r="P41" s="12">
        <f t="shared" si="2"/>
        <v>40456.907800000001</v>
      </c>
      <c r="U41" s="85"/>
    </row>
    <row r="42" spans="1:21" x14ac:dyDescent="0.2">
      <c r="A42" s="62" t="s">
        <v>63</v>
      </c>
      <c r="B42" s="63" t="s">
        <v>30</v>
      </c>
      <c r="C42" s="64">
        <v>55779.514999999999</v>
      </c>
      <c r="D42" s="64">
        <v>5.9999999999999995E-4</v>
      </c>
      <c r="E42">
        <f t="shared" si="0"/>
        <v>6115.4560766600289</v>
      </c>
      <c r="F42">
        <f t="shared" si="1"/>
        <v>6115.5</v>
      </c>
      <c r="G42">
        <f t="shared" si="3"/>
        <v>-1.9344777974765748E-2</v>
      </c>
      <c r="K42">
        <f t="shared" si="6"/>
        <v>-1.9344777974765748E-2</v>
      </c>
      <c r="N42">
        <f t="shared" ca="1" si="4"/>
        <v>-2.0076631362951979E-2</v>
      </c>
      <c r="P42" s="12">
        <f t="shared" si="2"/>
        <v>40761.014999999999</v>
      </c>
      <c r="U42" s="85"/>
    </row>
    <row r="43" spans="1:21" x14ac:dyDescent="0.2">
      <c r="A43" s="82" t="s">
        <v>161</v>
      </c>
      <c r="B43" s="83" t="s">
        <v>28</v>
      </c>
      <c r="C43" s="82">
        <v>55804.398999999998</v>
      </c>
      <c r="D43" s="82" t="s">
        <v>78</v>
      </c>
      <c r="E43">
        <f t="shared" si="0"/>
        <v>6171.9565127710284</v>
      </c>
      <c r="F43">
        <f t="shared" si="1"/>
        <v>6172</v>
      </c>
      <c r="G43">
        <f t="shared" si="3"/>
        <v>-1.9152705361193512E-2</v>
      </c>
      <c r="K43">
        <f t="shared" si="6"/>
        <v>-1.9152705361193512E-2</v>
      </c>
      <c r="N43">
        <f t="shared" ca="1" si="4"/>
        <v>-2.0429412058835264E-2</v>
      </c>
      <c r="P43" s="12">
        <f t="shared" si="2"/>
        <v>40785.898999999998</v>
      </c>
      <c r="U43" s="85"/>
    </row>
    <row r="44" spans="1:21" x14ac:dyDescent="0.2">
      <c r="A44" s="62" t="s">
        <v>64</v>
      </c>
      <c r="B44" s="65" t="s">
        <v>28</v>
      </c>
      <c r="C44" s="66">
        <v>55872.665529999998</v>
      </c>
      <c r="D44" s="66">
        <v>4.0000000000000002E-4</v>
      </c>
      <c r="E44">
        <f t="shared" si="0"/>
        <v>6326.9592742557152</v>
      </c>
      <c r="F44">
        <f t="shared" si="1"/>
        <v>6327</v>
      </c>
      <c r="G44">
        <f t="shared" si="3"/>
        <v>-1.7936488467967138E-2</v>
      </c>
      <c r="K44">
        <f t="shared" si="6"/>
        <v>-1.7936488467967138E-2</v>
      </c>
      <c r="N44">
        <f t="shared" ca="1" si="4"/>
        <v>-2.1397217507718606E-2</v>
      </c>
      <c r="P44" s="12">
        <f t="shared" si="2"/>
        <v>40854.165529999998</v>
      </c>
      <c r="U44" s="85"/>
    </row>
    <row r="45" spans="1:21" x14ac:dyDescent="0.2">
      <c r="A45" s="62" t="s">
        <v>64</v>
      </c>
      <c r="B45" s="65" t="s">
        <v>28</v>
      </c>
      <c r="C45" s="66">
        <v>55872.665529999998</v>
      </c>
      <c r="D45" s="66">
        <v>4.0000000000000002E-4</v>
      </c>
      <c r="E45">
        <f t="shared" si="0"/>
        <v>6326.9592742557152</v>
      </c>
      <c r="F45">
        <f t="shared" si="1"/>
        <v>6327</v>
      </c>
      <c r="G45">
        <f t="shared" si="3"/>
        <v>-1.7936488467967138E-2</v>
      </c>
      <c r="K45">
        <f t="shared" si="6"/>
        <v>-1.7936488467967138E-2</v>
      </c>
      <c r="N45">
        <f t="shared" ca="1" si="4"/>
        <v>-2.1397217507718606E-2</v>
      </c>
      <c r="P45" s="12">
        <f t="shared" si="2"/>
        <v>40854.165529999998</v>
      </c>
      <c r="U45" s="85"/>
    </row>
    <row r="46" spans="1:21" x14ac:dyDescent="0.2">
      <c r="A46" s="62" t="s">
        <v>64</v>
      </c>
      <c r="B46" s="65" t="s">
        <v>28</v>
      </c>
      <c r="C46" s="66">
        <v>55872.665529999998</v>
      </c>
      <c r="D46" s="66">
        <v>4.0000000000000002E-4</v>
      </c>
      <c r="E46">
        <f t="shared" si="0"/>
        <v>6326.9592742557152</v>
      </c>
      <c r="F46">
        <f t="shared" si="1"/>
        <v>6327</v>
      </c>
      <c r="G46">
        <f t="shared" si="3"/>
        <v>-1.7936488467967138E-2</v>
      </c>
      <c r="K46">
        <f t="shared" si="6"/>
        <v>-1.7936488467967138E-2</v>
      </c>
      <c r="N46">
        <f t="shared" ca="1" si="4"/>
        <v>-2.1397217507718606E-2</v>
      </c>
      <c r="P46" s="12">
        <f t="shared" si="2"/>
        <v>40854.165529999998</v>
      </c>
      <c r="U46" s="85"/>
    </row>
    <row r="47" spans="1:21" x14ac:dyDescent="0.2">
      <c r="A47" s="67" t="s">
        <v>66</v>
      </c>
      <c r="B47" s="68" t="s">
        <v>28</v>
      </c>
      <c r="C47" s="67">
        <v>56155.408940000001</v>
      </c>
      <c r="D47" s="67">
        <v>3.3E-4</v>
      </c>
      <c r="E47">
        <f t="shared" si="0"/>
        <v>6968.9431181920781</v>
      </c>
      <c r="F47">
        <f t="shared" si="1"/>
        <v>6969</v>
      </c>
      <c r="G47">
        <f t="shared" si="3"/>
        <v>-2.5051964301383123E-2</v>
      </c>
      <c r="K47">
        <f t="shared" si="6"/>
        <v>-2.5051964301383123E-2</v>
      </c>
      <c r="N47">
        <f t="shared" ca="1" si="4"/>
        <v>-2.5405805237932191E-2</v>
      </c>
      <c r="P47" s="12">
        <f t="shared" si="2"/>
        <v>41136.908940000001</v>
      </c>
      <c r="U47" s="85"/>
    </row>
    <row r="48" spans="1:21" x14ac:dyDescent="0.2">
      <c r="A48" s="62" t="s">
        <v>63</v>
      </c>
      <c r="B48" s="63" t="s">
        <v>30</v>
      </c>
      <c r="C48" s="64">
        <v>56156.512000000002</v>
      </c>
      <c r="D48" s="64">
        <v>8.0000000000000004E-4</v>
      </c>
      <c r="E48">
        <f t="shared" si="0"/>
        <v>6971.4476741741018</v>
      </c>
      <c r="F48">
        <f t="shared" si="1"/>
        <v>6971.5</v>
      </c>
      <c r="G48">
        <f t="shared" si="3"/>
        <v>-2.3045412410283461E-2</v>
      </c>
      <c r="K48">
        <f t="shared" si="6"/>
        <v>-2.3045412410283461E-2</v>
      </c>
      <c r="N48">
        <f t="shared" ca="1" si="4"/>
        <v>-2.5421415003236761E-2</v>
      </c>
      <c r="P48" s="12">
        <f t="shared" si="2"/>
        <v>41138.012000000002</v>
      </c>
      <c r="U48" s="85"/>
    </row>
    <row r="49" spans="1:21" x14ac:dyDescent="0.2">
      <c r="A49" s="62" t="s">
        <v>65</v>
      </c>
      <c r="B49" s="65" t="s">
        <v>30</v>
      </c>
      <c r="C49" s="66">
        <v>56220.371299999999</v>
      </c>
      <c r="D49" s="66">
        <v>1.3899999999999999E-2</v>
      </c>
      <c r="E49">
        <f t="shared" si="0"/>
        <v>7116.4435872002714</v>
      </c>
      <c r="F49">
        <f t="shared" si="1"/>
        <v>7116.5</v>
      </c>
      <c r="G49">
        <f t="shared" si="3"/>
        <v>-2.4845403066137806E-2</v>
      </c>
      <c r="J49">
        <f>G49</f>
        <v>-2.4845403066137806E-2</v>
      </c>
      <c r="N49">
        <f t="shared" ca="1" si="4"/>
        <v>-2.6326781390901825E-2</v>
      </c>
      <c r="P49" s="12">
        <f t="shared" si="2"/>
        <v>41201.871299999999</v>
      </c>
      <c r="U49" s="85"/>
    </row>
    <row r="50" spans="1:21" x14ac:dyDescent="0.2">
      <c r="A50" s="62" t="s">
        <v>63</v>
      </c>
      <c r="B50" s="63" t="s">
        <v>30</v>
      </c>
      <c r="C50" s="64">
        <v>56221.251100000001</v>
      </c>
      <c r="D50" s="64">
        <v>6.9999999999999999E-4</v>
      </c>
      <c r="E50">
        <f t="shared" si="0"/>
        <v>7118.4412195620544</v>
      </c>
      <c r="F50">
        <f t="shared" si="1"/>
        <v>7118.5</v>
      </c>
      <c r="G50">
        <f t="shared" si="3"/>
        <v>-2.5888161551847588E-2</v>
      </c>
      <c r="K50">
        <f>G50</f>
        <v>-2.5888161551847588E-2</v>
      </c>
      <c r="N50">
        <f t="shared" ca="1" si="4"/>
        <v>-2.6339269203145478E-2</v>
      </c>
      <c r="P50" s="12">
        <f t="shared" si="2"/>
        <v>41202.751100000001</v>
      </c>
      <c r="U50" s="85"/>
    </row>
    <row r="51" spans="1:21" x14ac:dyDescent="0.2">
      <c r="A51" s="62" t="s">
        <v>63</v>
      </c>
      <c r="B51" s="63" t="s">
        <v>28</v>
      </c>
      <c r="C51" s="64">
        <v>56221.472500000003</v>
      </c>
      <c r="D51" s="64">
        <v>2.9999999999999997E-4</v>
      </c>
      <c r="E51">
        <f t="shared" si="0"/>
        <v>7118.9439199540775</v>
      </c>
      <c r="F51">
        <f t="shared" si="1"/>
        <v>7119</v>
      </c>
      <c r="G51">
        <f t="shared" si="3"/>
        <v>-2.4698851171706337E-2</v>
      </c>
      <c r="K51">
        <f>G51</f>
        <v>-2.4698851171706337E-2</v>
      </c>
      <c r="N51">
        <f t="shared" ca="1" si="4"/>
        <v>-2.6342391156206395E-2</v>
      </c>
      <c r="P51" s="12">
        <f t="shared" si="2"/>
        <v>41202.972500000003</v>
      </c>
      <c r="U51" s="85"/>
    </row>
    <row r="52" spans="1:21" x14ac:dyDescent="0.2">
      <c r="A52" s="67" t="s">
        <v>66</v>
      </c>
      <c r="B52" s="68" t="s">
        <v>30</v>
      </c>
      <c r="C52" s="67">
        <v>56500.482980000001</v>
      </c>
      <c r="D52" s="67">
        <v>3.5E-4</v>
      </c>
      <c r="E52">
        <f t="shared" si="0"/>
        <v>7752.4519491913497</v>
      </c>
      <c r="F52">
        <f t="shared" si="1"/>
        <v>7752.5</v>
      </c>
      <c r="N52">
        <f t="shared" ca="1" si="4"/>
        <v>-3.0297905684384438E-2</v>
      </c>
      <c r="P52" s="12">
        <f t="shared" si="2"/>
        <v>41481.982980000001</v>
      </c>
      <c r="U52" s="85">
        <f>+C52-(C$7+F52*C$8)</f>
        <v>-2.116260342154419E-2</v>
      </c>
    </row>
    <row r="53" spans="1:21" x14ac:dyDescent="0.2">
      <c r="A53" s="67" t="s">
        <v>66</v>
      </c>
      <c r="B53" s="68" t="s">
        <v>28</v>
      </c>
      <c r="C53" s="67">
        <v>56542.535550000001</v>
      </c>
      <c r="D53" s="67">
        <v>2.9999999999999997E-4</v>
      </c>
      <c r="E53">
        <f t="shared" si="0"/>
        <v>7847.93453015054</v>
      </c>
      <c r="F53">
        <f t="shared" si="1"/>
        <v>7848</v>
      </c>
      <c r="G53">
        <f t="shared" ref="G53:G59" si="7">+C53-(C$7+F53*C$8)</f>
        <v>-2.8834321397880558E-2</v>
      </c>
      <c r="K53">
        <f t="shared" ref="K53:K59" si="8">G53</f>
        <v>-2.8834321397880558E-2</v>
      </c>
      <c r="N53">
        <f t="shared" ca="1" si="4"/>
        <v>-3.0894198719019016E-2</v>
      </c>
      <c r="P53" s="12">
        <f t="shared" si="2"/>
        <v>41524.035550000001</v>
      </c>
      <c r="U53" s="85"/>
    </row>
    <row r="54" spans="1:21" x14ac:dyDescent="0.2">
      <c r="A54" s="67" t="s">
        <v>67</v>
      </c>
      <c r="B54" s="68" t="s">
        <v>28</v>
      </c>
      <c r="C54" s="67">
        <v>56638.544999999998</v>
      </c>
      <c r="D54" s="67">
        <v>2.0000000000000001E-4</v>
      </c>
      <c r="E54">
        <f t="shared" si="0"/>
        <v>8065.9290565842912</v>
      </c>
      <c r="F54">
        <f t="shared" si="1"/>
        <v>8066</v>
      </c>
      <c r="G54">
        <f t="shared" si="7"/>
        <v>-3.1244996993336827E-2</v>
      </c>
      <c r="K54">
        <f t="shared" si="8"/>
        <v>-3.1244996993336827E-2</v>
      </c>
      <c r="N54">
        <f t="shared" ca="1" si="4"/>
        <v>-3.2255370253577526E-2</v>
      </c>
      <c r="P54" s="12">
        <f t="shared" si="2"/>
        <v>41620.044999999998</v>
      </c>
      <c r="U54" s="85"/>
    </row>
    <row r="55" spans="1:21" x14ac:dyDescent="0.2">
      <c r="A55" s="87" t="s">
        <v>0</v>
      </c>
      <c r="B55" s="88" t="s">
        <v>30</v>
      </c>
      <c r="C55" s="87">
        <v>57659.648000000001</v>
      </c>
      <c r="D55" s="87">
        <v>5.9999999999999995E-4</v>
      </c>
      <c r="E55">
        <f t="shared" si="0"/>
        <v>10384.397341998785</v>
      </c>
      <c r="F55">
        <f t="shared" si="1"/>
        <v>10384.5</v>
      </c>
      <c r="G55">
        <f t="shared" si="7"/>
        <v>-4.5212778488348704E-2</v>
      </c>
      <c r="K55">
        <f t="shared" si="8"/>
        <v>-4.5212778488348704E-2</v>
      </c>
      <c r="N55">
        <f t="shared" ca="1" si="4"/>
        <v>-4.6731866597035779E-2</v>
      </c>
      <c r="P55" s="12">
        <f t="shared" si="2"/>
        <v>42641.148000000001</v>
      </c>
    </row>
    <row r="56" spans="1:21" x14ac:dyDescent="0.2">
      <c r="A56" s="87" t="s">
        <v>0</v>
      </c>
      <c r="B56" s="88" t="s">
        <v>28</v>
      </c>
      <c r="C56" s="87">
        <v>57659.866999999998</v>
      </c>
      <c r="D56" s="87">
        <v>5.0000000000000001E-4</v>
      </c>
      <c r="E56">
        <f t="shared" si="0"/>
        <v>10384.894593064053</v>
      </c>
      <c r="F56">
        <f t="shared" si="1"/>
        <v>10385</v>
      </c>
      <c r="G56">
        <f t="shared" si="7"/>
        <v>-4.6423468113061972E-2</v>
      </c>
      <c r="K56">
        <f t="shared" si="8"/>
        <v>-4.6423468113061972E-2</v>
      </c>
      <c r="N56">
        <f t="shared" ca="1" si="4"/>
        <v>-4.6734988550096696E-2</v>
      </c>
      <c r="P56" s="12">
        <f t="shared" si="2"/>
        <v>42641.366999999998</v>
      </c>
    </row>
    <row r="57" spans="1:21" x14ac:dyDescent="0.2">
      <c r="A57" s="87" t="s">
        <v>0</v>
      </c>
      <c r="B57" s="88" t="s">
        <v>30</v>
      </c>
      <c r="C57" s="87">
        <v>57677.703999999998</v>
      </c>
      <c r="D57" s="87">
        <v>6.9999999999999999E-4</v>
      </c>
      <c r="E57">
        <f t="shared" si="0"/>
        <v>10425.394443526679</v>
      </c>
      <c r="F57">
        <f t="shared" si="1"/>
        <v>10425.5</v>
      </c>
      <c r="G57">
        <f t="shared" si="7"/>
        <v>-4.6489327571180183E-2</v>
      </c>
      <c r="K57">
        <f t="shared" si="8"/>
        <v>-4.6489327571180183E-2</v>
      </c>
      <c r="N57">
        <f t="shared" ca="1" si="4"/>
        <v>-4.6987866748030724E-2</v>
      </c>
      <c r="P57" s="12">
        <f t="shared" si="2"/>
        <v>42659.203999999998</v>
      </c>
    </row>
    <row r="58" spans="1:21" x14ac:dyDescent="0.2">
      <c r="A58" s="58" t="s">
        <v>210</v>
      </c>
      <c r="B58" s="5"/>
      <c r="C58" s="24">
        <v>57966.839800000002</v>
      </c>
      <c r="D58" s="24">
        <v>4.0000000000000002E-4</v>
      </c>
      <c r="E58">
        <f t="shared" si="0"/>
        <v>11081.89254653681</v>
      </c>
      <c r="F58">
        <f t="shared" si="1"/>
        <v>11082</v>
      </c>
      <c r="G58">
        <f t="shared" si="7"/>
        <v>-4.7324802464572713E-2</v>
      </c>
      <c r="K58">
        <f t="shared" si="8"/>
        <v>-4.7324802464572713E-2</v>
      </c>
      <c r="N58">
        <f t="shared" ca="1" si="4"/>
        <v>-5.1086991117010816E-2</v>
      </c>
      <c r="P58" s="12">
        <f t="shared" si="2"/>
        <v>42948.339800000002</v>
      </c>
    </row>
    <row r="59" spans="1:21" x14ac:dyDescent="0.2">
      <c r="A59" s="58" t="s">
        <v>210</v>
      </c>
      <c r="C59" s="24">
        <v>58090.592299999997</v>
      </c>
      <c r="D59" s="24">
        <v>5.0000000000000001E-4</v>
      </c>
      <c r="E59">
        <f t="shared" si="0"/>
        <v>11362.879133091492</v>
      </c>
      <c r="F59">
        <f t="shared" si="1"/>
        <v>11363</v>
      </c>
      <c r="G59">
        <f t="shared" si="7"/>
        <v>-5.3232370548357721E-2</v>
      </c>
      <c r="K59">
        <f t="shared" si="8"/>
        <v>-5.3232370548357721E-2</v>
      </c>
      <c r="N59">
        <f t="shared" ca="1" si="4"/>
        <v>-5.2841528737244486E-2</v>
      </c>
      <c r="P59" s="12">
        <f t="shared" si="2"/>
        <v>43072.092299999997</v>
      </c>
    </row>
    <row r="60" spans="1:21" x14ac:dyDescent="0.2">
      <c r="A60" s="89" t="s">
        <v>211</v>
      </c>
      <c r="B60" s="55" t="s">
        <v>30</v>
      </c>
      <c r="C60" s="90">
        <v>59184.361299999997</v>
      </c>
      <c r="D60" s="90">
        <v>8.9999999999999998E-4</v>
      </c>
      <c r="E60">
        <f>+(C60-C$7)/C$8</f>
        <v>13846.339408959369</v>
      </c>
      <c r="F60">
        <f>ROUND(2*E60,0)/2</f>
        <v>13846.5</v>
      </c>
      <c r="G60">
        <f>+C60-(C$7+F60*C$8)</f>
        <v>-7.0727727608755231E-2</v>
      </c>
      <c r="K60">
        <f>G60</f>
        <v>-7.0727727608755231E-2</v>
      </c>
      <c r="N60">
        <f ca="1">+C$11+C$12*F60</f>
        <v>-6.8348269590804367E-2</v>
      </c>
      <c r="P60" s="12">
        <f>+C60-15018.5</f>
        <v>44165.861299999997</v>
      </c>
    </row>
    <row r="61" spans="1:21" x14ac:dyDescent="0.2">
      <c r="A61" s="91" t="s">
        <v>212</v>
      </c>
      <c r="B61" s="92" t="s">
        <v>28</v>
      </c>
      <c r="C61" s="93">
        <v>59101.340799999998</v>
      </c>
      <c r="D61" s="94">
        <v>2E-3</v>
      </c>
      <c r="E61">
        <f t="shared" ref="E61:E64" si="9">+(C61-C$7)/C$8</f>
        <v>13657.836979440261</v>
      </c>
      <c r="F61">
        <f t="shared" ref="F61:F64" si="10">ROUND(2*E61,0)/2</f>
        <v>13658</v>
      </c>
      <c r="G61">
        <f t="shared" ref="G61:G64" si="11">+C61-(C$7+F61*C$8)</f>
        <v>-7.1797739765315782E-2</v>
      </c>
      <c r="K61">
        <f t="shared" ref="K61:K64" si="12">G61</f>
        <v>-7.1797739765315782E-2</v>
      </c>
      <c r="N61">
        <f t="shared" ref="N61:N64" ca="1" si="13">+C$11+C$12*F61</f>
        <v>-6.7171293286839781E-2</v>
      </c>
      <c r="P61" s="12">
        <f t="shared" ref="P61:P64" si="14">+C61-15018.5</f>
        <v>44082.840799999998</v>
      </c>
    </row>
    <row r="62" spans="1:21" x14ac:dyDescent="0.2">
      <c r="A62" s="91" t="s">
        <v>212</v>
      </c>
      <c r="B62" s="92" t="s">
        <v>28</v>
      </c>
      <c r="C62" s="93">
        <v>59101.5651</v>
      </c>
      <c r="D62" s="94">
        <v>3.8999999999999998E-3</v>
      </c>
      <c r="E62">
        <f t="shared" si="9"/>
        <v>13658.346264435431</v>
      </c>
      <c r="F62">
        <f t="shared" si="10"/>
        <v>13658.5</v>
      </c>
      <c r="G62">
        <f t="shared" si="11"/>
        <v>-6.7708429385675117E-2</v>
      </c>
      <c r="K62">
        <f t="shared" si="12"/>
        <v>-6.7708429385675117E-2</v>
      </c>
      <c r="N62">
        <f t="shared" ca="1" si="13"/>
        <v>-6.7174415239900698E-2</v>
      </c>
      <c r="P62" s="12">
        <f t="shared" si="14"/>
        <v>44083.0651</v>
      </c>
    </row>
    <row r="63" spans="1:21" x14ac:dyDescent="0.2">
      <c r="A63" s="91" t="s">
        <v>212</v>
      </c>
      <c r="B63" s="92" t="s">
        <v>28</v>
      </c>
      <c r="C63" s="93">
        <v>59489.347399999999</v>
      </c>
      <c r="D63" s="94">
        <v>2.7000000000000001E-3</v>
      </c>
      <c r="E63">
        <f t="shared" si="9"/>
        <v>14538.826455165537</v>
      </c>
      <c r="F63">
        <f t="shared" si="10"/>
        <v>14539</v>
      </c>
      <c r="G63">
        <f t="shared" si="11"/>
        <v>-7.6432855355960783E-2</v>
      </c>
      <c r="K63">
        <f t="shared" si="12"/>
        <v>-7.6432855355960783E-2</v>
      </c>
      <c r="N63">
        <f t="shared" ca="1" si="13"/>
        <v>-7.2672174580170265E-2</v>
      </c>
      <c r="P63" s="12">
        <f t="shared" si="14"/>
        <v>44470.847399999999</v>
      </c>
    </row>
    <row r="64" spans="1:21" x14ac:dyDescent="0.2">
      <c r="A64" s="91" t="s">
        <v>212</v>
      </c>
      <c r="B64" s="92" t="s">
        <v>28</v>
      </c>
      <c r="C64" s="93">
        <v>59489.572999999997</v>
      </c>
      <c r="D64" s="94">
        <v>1.5E-3</v>
      </c>
      <c r="E64">
        <f t="shared" si="9"/>
        <v>14539.338691879349</v>
      </c>
      <c r="F64">
        <f t="shared" si="10"/>
        <v>14539.5</v>
      </c>
      <c r="G64">
        <f t="shared" si="11"/>
        <v>-7.104354498005705E-2</v>
      </c>
      <c r="K64">
        <f t="shared" si="12"/>
        <v>-7.104354498005705E-2</v>
      </c>
      <c r="N64">
        <f t="shared" ca="1" si="13"/>
        <v>-7.2675296533231182E-2</v>
      </c>
      <c r="P64" s="12">
        <f t="shared" si="14"/>
        <v>44471.072999999997</v>
      </c>
    </row>
    <row r="65" spans="3:4" x14ac:dyDescent="0.2">
      <c r="C65" s="24"/>
      <c r="D65" s="24"/>
    </row>
    <row r="66" spans="3:4" x14ac:dyDescent="0.2">
      <c r="C66" s="24"/>
      <c r="D66" s="24"/>
    </row>
    <row r="67" spans="3:4" x14ac:dyDescent="0.2">
      <c r="C67" s="24"/>
      <c r="D67" s="24"/>
    </row>
    <row r="68" spans="3:4" x14ac:dyDescent="0.2">
      <c r="C68" s="24"/>
      <c r="D68" s="24"/>
    </row>
    <row r="69" spans="3:4" x14ac:dyDescent="0.2">
      <c r="C69" s="24"/>
      <c r="D69" s="24"/>
    </row>
    <row r="70" spans="3:4" x14ac:dyDescent="0.2">
      <c r="C70" s="24"/>
      <c r="D70" s="24"/>
    </row>
    <row r="71" spans="3:4" x14ac:dyDescent="0.2">
      <c r="C71" s="24"/>
      <c r="D71" s="24"/>
    </row>
    <row r="72" spans="3:4" x14ac:dyDescent="0.2">
      <c r="C72" s="24"/>
      <c r="D72" s="24"/>
    </row>
    <row r="73" spans="3:4" x14ac:dyDescent="0.2">
      <c r="C73" s="24"/>
      <c r="D73" s="24"/>
    </row>
    <row r="74" spans="3:4" x14ac:dyDescent="0.2">
      <c r="C74" s="24"/>
      <c r="D74" s="24"/>
    </row>
    <row r="75" spans="3:4" x14ac:dyDescent="0.2">
      <c r="C75" s="24"/>
      <c r="D75" s="24"/>
    </row>
    <row r="76" spans="3:4" x14ac:dyDescent="0.2">
      <c r="C76" s="24"/>
      <c r="D76" s="24"/>
    </row>
    <row r="77" spans="3:4" x14ac:dyDescent="0.2">
      <c r="C77" s="24"/>
      <c r="D77" s="24"/>
    </row>
    <row r="78" spans="3:4" x14ac:dyDescent="0.2">
      <c r="C78" s="24"/>
      <c r="D78" s="24"/>
    </row>
    <row r="79" spans="3:4" x14ac:dyDescent="0.2">
      <c r="C79" s="24"/>
      <c r="D79" s="24"/>
    </row>
    <row r="80" spans="3:4" x14ac:dyDescent="0.2">
      <c r="C80" s="24"/>
      <c r="D80" s="24"/>
    </row>
    <row r="81" spans="3:4" x14ac:dyDescent="0.2">
      <c r="C81" s="24"/>
      <c r="D81" s="24"/>
    </row>
    <row r="82" spans="3:4" x14ac:dyDescent="0.2">
      <c r="C82" s="24"/>
      <c r="D82" s="24"/>
    </row>
    <row r="83" spans="3:4" x14ac:dyDescent="0.2">
      <c r="C83" s="24"/>
      <c r="D83" s="24"/>
    </row>
    <row r="84" spans="3:4" x14ac:dyDescent="0.2">
      <c r="C84" s="24"/>
      <c r="D84" s="24"/>
    </row>
    <row r="85" spans="3:4" x14ac:dyDescent="0.2">
      <c r="C85" s="24"/>
      <c r="D85" s="24"/>
    </row>
    <row r="86" spans="3:4" x14ac:dyDescent="0.2">
      <c r="C86" s="24"/>
      <c r="D86" s="24"/>
    </row>
    <row r="87" spans="3:4" x14ac:dyDescent="0.2">
      <c r="C87" s="24"/>
      <c r="D87" s="24"/>
    </row>
    <row r="88" spans="3:4" x14ac:dyDescent="0.2">
      <c r="C88" s="24"/>
      <c r="D88" s="24"/>
    </row>
    <row r="89" spans="3:4" x14ac:dyDescent="0.2">
      <c r="C89" s="24"/>
      <c r="D89" s="24"/>
    </row>
    <row r="90" spans="3:4" x14ac:dyDescent="0.2">
      <c r="C90" s="24"/>
      <c r="D90" s="24"/>
    </row>
    <row r="91" spans="3:4" x14ac:dyDescent="0.2">
      <c r="C91" s="24"/>
      <c r="D91" s="24"/>
    </row>
    <row r="92" spans="3:4" x14ac:dyDescent="0.2">
      <c r="C92" s="24"/>
      <c r="D92" s="24"/>
    </row>
    <row r="93" spans="3:4" x14ac:dyDescent="0.2">
      <c r="C93" s="24"/>
      <c r="D93" s="24"/>
    </row>
    <row r="94" spans="3:4" x14ac:dyDescent="0.2">
      <c r="C94" s="24"/>
      <c r="D94" s="24"/>
    </row>
    <row r="95" spans="3:4" x14ac:dyDescent="0.2">
      <c r="C95" s="24"/>
      <c r="D95" s="24"/>
    </row>
    <row r="96" spans="3:4" x14ac:dyDescent="0.2">
      <c r="C96" s="24"/>
      <c r="D96" s="24"/>
    </row>
    <row r="97" spans="3:4" x14ac:dyDescent="0.2">
      <c r="C97" s="24"/>
      <c r="D97" s="24"/>
    </row>
    <row r="98" spans="3:4" x14ac:dyDescent="0.2">
      <c r="C98" s="24"/>
      <c r="D98" s="24"/>
    </row>
    <row r="99" spans="3:4" x14ac:dyDescent="0.2">
      <c r="C99" s="24"/>
      <c r="D99" s="24"/>
    </row>
    <row r="100" spans="3:4" x14ac:dyDescent="0.2">
      <c r="C100" s="24"/>
      <c r="D100" s="24"/>
    </row>
    <row r="101" spans="3:4" x14ac:dyDescent="0.2">
      <c r="C101" s="24"/>
      <c r="D101" s="24"/>
    </row>
    <row r="102" spans="3:4" x14ac:dyDescent="0.2">
      <c r="C102" s="24"/>
      <c r="D102" s="24"/>
    </row>
    <row r="103" spans="3:4" x14ac:dyDescent="0.2">
      <c r="C103" s="24"/>
      <c r="D103" s="24"/>
    </row>
    <row r="104" spans="3:4" x14ac:dyDescent="0.2">
      <c r="C104" s="24"/>
      <c r="D104" s="24"/>
    </row>
    <row r="105" spans="3:4" x14ac:dyDescent="0.2">
      <c r="C105" s="24"/>
      <c r="D105" s="24"/>
    </row>
    <row r="106" spans="3:4" x14ac:dyDescent="0.2">
      <c r="C106" s="24"/>
      <c r="D106" s="24"/>
    </row>
    <row r="107" spans="3:4" x14ac:dyDescent="0.2">
      <c r="C107" s="24"/>
      <c r="D107" s="24"/>
    </row>
    <row r="108" spans="3:4" x14ac:dyDescent="0.2">
      <c r="C108" s="24"/>
      <c r="D108" s="24"/>
    </row>
    <row r="109" spans="3:4" x14ac:dyDescent="0.2">
      <c r="C109" s="24"/>
      <c r="D109" s="24"/>
    </row>
    <row r="110" spans="3:4" x14ac:dyDescent="0.2">
      <c r="C110" s="24"/>
      <c r="D110" s="24"/>
    </row>
    <row r="111" spans="3:4" x14ac:dyDescent="0.2">
      <c r="C111" s="24"/>
      <c r="D111" s="24"/>
    </row>
    <row r="112" spans="3:4" x14ac:dyDescent="0.2">
      <c r="C112" s="24"/>
      <c r="D112" s="24"/>
    </row>
    <row r="113" spans="3:4" x14ac:dyDescent="0.2">
      <c r="C113" s="24"/>
      <c r="D113" s="24"/>
    </row>
    <row r="114" spans="3:4" x14ac:dyDescent="0.2">
      <c r="C114" s="24"/>
      <c r="D114" s="24"/>
    </row>
    <row r="115" spans="3:4" x14ac:dyDescent="0.2">
      <c r="C115" s="24"/>
      <c r="D115" s="24"/>
    </row>
    <row r="116" spans="3:4" x14ac:dyDescent="0.2">
      <c r="C116" s="24"/>
      <c r="D116" s="24"/>
    </row>
    <row r="117" spans="3:4" x14ac:dyDescent="0.2">
      <c r="C117" s="24"/>
      <c r="D117" s="24"/>
    </row>
    <row r="118" spans="3:4" x14ac:dyDescent="0.2">
      <c r="C118" s="24"/>
      <c r="D118" s="24"/>
    </row>
    <row r="119" spans="3:4" x14ac:dyDescent="0.2">
      <c r="C119" s="24"/>
      <c r="D119" s="24"/>
    </row>
    <row r="120" spans="3:4" x14ac:dyDescent="0.2">
      <c r="C120" s="24"/>
      <c r="D120" s="24"/>
    </row>
    <row r="121" spans="3:4" x14ac:dyDescent="0.2">
      <c r="C121" s="24"/>
      <c r="D121" s="24"/>
    </row>
    <row r="122" spans="3:4" x14ac:dyDescent="0.2">
      <c r="C122" s="24"/>
      <c r="D122" s="24"/>
    </row>
    <row r="123" spans="3:4" x14ac:dyDescent="0.2">
      <c r="C123" s="24"/>
      <c r="D123" s="24"/>
    </row>
    <row r="124" spans="3:4" x14ac:dyDescent="0.2">
      <c r="C124" s="24"/>
      <c r="D124" s="24"/>
    </row>
    <row r="125" spans="3:4" x14ac:dyDescent="0.2">
      <c r="C125" s="24"/>
      <c r="D125" s="24"/>
    </row>
    <row r="126" spans="3:4" x14ac:dyDescent="0.2">
      <c r="C126" s="24"/>
      <c r="D126" s="24"/>
    </row>
    <row r="127" spans="3:4" x14ac:dyDescent="0.2">
      <c r="C127" s="24"/>
      <c r="D127" s="24"/>
    </row>
    <row r="128" spans="3:4" x14ac:dyDescent="0.2">
      <c r="C128" s="24"/>
      <c r="D128" s="24"/>
    </row>
    <row r="129" spans="3:4" x14ac:dyDescent="0.2">
      <c r="C129" s="24"/>
      <c r="D129" s="24"/>
    </row>
    <row r="130" spans="3:4" x14ac:dyDescent="0.2">
      <c r="C130" s="24"/>
      <c r="D130" s="24"/>
    </row>
    <row r="131" spans="3:4" x14ac:dyDescent="0.2">
      <c r="C131" s="24"/>
      <c r="D131" s="24"/>
    </row>
    <row r="132" spans="3:4" x14ac:dyDescent="0.2">
      <c r="C132" s="24"/>
      <c r="D132" s="24"/>
    </row>
    <row r="133" spans="3:4" x14ac:dyDescent="0.2">
      <c r="C133" s="24"/>
      <c r="D133" s="24"/>
    </row>
    <row r="134" spans="3:4" x14ac:dyDescent="0.2">
      <c r="C134" s="24"/>
      <c r="D134" s="24"/>
    </row>
    <row r="135" spans="3:4" x14ac:dyDescent="0.2">
      <c r="C135" s="24"/>
      <c r="D135" s="24"/>
    </row>
    <row r="136" spans="3:4" x14ac:dyDescent="0.2">
      <c r="C136" s="24"/>
      <c r="D136" s="24"/>
    </row>
    <row r="137" spans="3:4" x14ac:dyDescent="0.2">
      <c r="C137" s="24"/>
      <c r="D137" s="24"/>
    </row>
    <row r="138" spans="3:4" x14ac:dyDescent="0.2">
      <c r="C138" s="24"/>
      <c r="D138" s="24"/>
    </row>
    <row r="139" spans="3:4" x14ac:dyDescent="0.2">
      <c r="C139" s="24"/>
      <c r="D139" s="24"/>
    </row>
    <row r="140" spans="3:4" x14ac:dyDescent="0.2">
      <c r="C140" s="24"/>
      <c r="D140" s="24"/>
    </row>
    <row r="141" spans="3:4" x14ac:dyDescent="0.2">
      <c r="C141" s="24"/>
      <c r="D141" s="24"/>
    </row>
    <row r="142" spans="3:4" x14ac:dyDescent="0.2">
      <c r="C142" s="24"/>
      <c r="D142" s="24"/>
    </row>
    <row r="143" spans="3:4" x14ac:dyDescent="0.2">
      <c r="C143" s="24"/>
      <c r="D143" s="24"/>
    </row>
    <row r="144" spans="3:4" x14ac:dyDescent="0.2">
      <c r="C144" s="24"/>
      <c r="D144" s="24"/>
    </row>
    <row r="145" spans="3:4" x14ac:dyDescent="0.2">
      <c r="C145" s="24"/>
      <c r="D145" s="24"/>
    </row>
    <row r="146" spans="3:4" x14ac:dyDescent="0.2">
      <c r="C146" s="24"/>
      <c r="D146" s="24"/>
    </row>
    <row r="147" spans="3:4" x14ac:dyDescent="0.2">
      <c r="C147" s="24"/>
      <c r="D147" s="24"/>
    </row>
    <row r="148" spans="3:4" x14ac:dyDescent="0.2">
      <c r="C148" s="24"/>
      <c r="D148" s="24"/>
    </row>
    <row r="149" spans="3:4" x14ac:dyDescent="0.2">
      <c r="C149" s="24"/>
      <c r="D149" s="24"/>
    </row>
    <row r="150" spans="3:4" x14ac:dyDescent="0.2">
      <c r="C150" s="24"/>
      <c r="D150" s="24"/>
    </row>
    <row r="151" spans="3:4" x14ac:dyDescent="0.2">
      <c r="C151" s="24"/>
      <c r="D151" s="24"/>
    </row>
    <row r="152" spans="3:4" x14ac:dyDescent="0.2">
      <c r="C152" s="24"/>
      <c r="D152" s="24"/>
    </row>
    <row r="153" spans="3:4" x14ac:dyDescent="0.2">
      <c r="C153" s="24"/>
      <c r="D153" s="24"/>
    </row>
    <row r="154" spans="3:4" x14ac:dyDescent="0.2">
      <c r="C154" s="24"/>
      <c r="D154" s="24"/>
    </row>
    <row r="155" spans="3:4" x14ac:dyDescent="0.2">
      <c r="C155" s="24"/>
      <c r="D155" s="24"/>
    </row>
    <row r="156" spans="3:4" x14ac:dyDescent="0.2">
      <c r="C156" s="24"/>
      <c r="D156" s="24"/>
    </row>
    <row r="157" spans="3:4" x14ac:dyDescent="0.2">
      <c r="C157" s="24"/>
      <c r="D157" s="24"/>
    </row>
    <row r="158" spans="3:4" x14ac:dyDescent="0.2">
      <c r="C158" s="24"/>
      <c r="D158" s="24"/>
    </row>
    <row r="159" spans="3:4" x14ac:dyDescent="0.2">
      <c r="C159" s="24"/>
      <c r="D159" s="24"/>
    </row>
    <row r="160" spans="3:4" x14ac:dyDescent="0.2">
      <c r="C160" s="24"/>
      <c r="D160" s="24"/>
    </row>
    <row r="161" spans="3:4" x14ac:dyDescent="0.2">
      <c r="C161" s="24"/>
      <c r="D161" s="24"/>
    </row>
    <row r="162" spans="3:4" x14ac:dyDescent="0.2">
      <c r="C162" s="24"/>
      <c r="D162" s="24"/>
    </row>
    <row r="163" spans="3:4" x14ac:dyDescent="0.2">
      <c r="C163" s="24"/>
      <c r="D163" s="24"/>
    </row>
    <row r="164" spans="3:4" x14ac:dyDescent="0.2">
      <c r="C164" s="24"/>
      <c r="D164" s="24"/>
    </row>
    <row r="165" spans="3:4" x14ac:dyDescent="0.2">
      <c r="C165" s="24"/>
      <c r="D165" s="24"/>
    </row>
    <row r="166" spans="3:4" x14ac:dyDescent="0.2">
      <c r="C166" s="24"/>
      <c r="D166" s="24"/>
    </row>
    <row r="167" spans="3:4" x14ac:dyDescent="0.2">
      <c r="C167" s="24"/>
      <c r="D167" s="24"/>
    </row>
    <row r="168" spans="3:4" x14ac:dyDescent="0.2">
      <c r="C168" s="24"/>
      <c r="D168" s="24"/>
    </row>
    <row r="169" spans="3:4" x14ac:dyDescent="0.2">
      <c r="C169" s="24"/>
      <c r="D169" s="24"/>
    </row>
    <row r="170" spans="3:4" x14ac:dyDescent="0.2">
      <c r="C170" s="24"/>
      <c r="D170" s="24"/>
    </row>
    <row r="171" spans="3:4" x14ac:dyDescent="0.2">
      <c r="C171" s="24"/>
      <c r="D171" s="24"/>
    </row>
    <row r="172" spans="3:4" x14ac:dyDescent="0.2">
      <c r="C172" s="24"/>
      <c r="D172" s="24"/>
    </row>
    <row r="173" spans="3:4" x14ac:dyDescent="0.2">
      <c r="C173" s="24"/>
      <c r="D173" s="24"/>
    </row>
    <row r="174" spans="3:4" x14ac:dyDescent="0.2">
      <c r="C174" s="24"/>
      <c r="D174" s="24"/>
    </row>
    <row r="175" spans="3:4" x14ac:dyDescent="0.2">
      <c r="C175" s="24"/>
      <c r="D175" s="24"/>
    </row>
    <row r="176" spans="3:4" x14ac:dyDescent="0.2">
      <c r="C176" s="24"/>
      <c r="D176" s="24"/>
    </row>
    <row r="177" spans="3:4" x14ac:dyDescent="0.2">
      <c r="C177" s="24"/>
      <c r="D177" s="24"/>
    </row>
    <row r="178" spans="3:4" x14ac:dyDescent="0.2">
      <c r="C178" s="24"/>
      <c r="D178" s="24"/>
    </row>
    <row r="179" spans="3:4" x14ac:dyDescent="0.2">
      <c r="C179" s="24"/>
      <c r="D179" s="24"/>
    </row>
    <row r="180" spans="3:4" x14ac:dyDescent="0.2">
      <c r="C180" s="24"/>
      <c r="D180" s="24"/>
    </row>
    <row r="181" spans="3:4" x14ac:dyDescent="0.2">
      <c r="C181" s="24"/>
      <c r="D181" s="24"/>
    </row>
    <row r="182" spans="3:4" x14ac:dyDescent="0.2">
      <c r="C182" s="24"/>
      <c r="D182" s="24"/>
    </row>
    <row r="183" spans="3:4" x14ac:dyDescent="0.2">
      <c r="C183" s="24"/>
      <c r="D183" s="24"/>
    </row>
    <row r="184" spans="3:4" x14ac:dyDescent="0.2">
      <c r="C184" s="24"/>
      <c r="D184" s="24"/>
    </row>
    <row r="185" spans="3:4" x14ac:dyDescent="0.2">
      <c r="C185" s="24"/>
      <c r="D185" s="24"/>
    </row>
    <row r="186" spans="3:4" x14ac:dyDescent="0.2">
      <c r="C186" s="24"/>
      <c r="D186" s="24"/>
    </row>
    <row r="187" spans="3:4" x14ac:dyDescent="0.2">
      <c r="C187" s="24"/>
      <c r="D187" s="24"/>
    </row>
    <row r="188" spans="3:4" x14ac:dyDescent="0.2">
      <c r="C188" s="24"/>
      <c r="D188" s="24"/>
    </row>
    <row r="189" spans="3:4" x14ac:dyDescent="0.2">
      <c r="C189" s="24"/>
      <c r="D189" s="24"/>
    </row>
    <row r="190" spans="3:4" x14ac:dyDescent="0.2">
      <c r="C190" s="24"/>
      <c r="D190" s="24"/>
    </row>
    <row r="191" spans="3:4" x14ac:dyDescent="0.2">
      <c r="C191" s="24"/>
      <c r="D191" s="24"/>
    </row>
  </sheetData>
  <phoneticPr fontId="7" type="noConversion"/>
  <hyperlinks>
    <hyperlink ref="H64707" r:id="rId1" display="http://vsolj.cetus-net.org/bulletin.html" xr:uid="{00000000-0004-0000-0000-000000000000}"/>
    <hyperlink ref="H64700" r:id="rId2" display="https://www.aavso.org/ejaavso" xr:uid="{00000000-0004-0000-0000-000001000000}"/>
    <hyperlink ref="I64707" r:id="rId3" display="http://vsolj.cetus-net.org/bulletin.html" xr:uid="{00000000-0004-0000-0000-000002000000}"/>
    <hyperlink ref="AQ58358" r:id="rId4" display="http://cdsbib.u-strasbg.fr/cgi-bin/cdsbib?1990RMxAA..21..381G" xr:uid="{00000000-0004-0000-0000-000003000000}"/>
    <hyperlink ref="H64704" r:id="rId5" display="https://www.aavso.org/ejaavso" xr:uid="{00000000-0004-0000-0000-000004000000}"/>
    <hyperlink ref="AP5722" r:id="rId6" display="http://cdsbib.u-strasbg.fr/cgi-bin/cdsbib?1990RMxAA..21..381G" xr:uid="{00000000-0004-0000-0000-000005000000}"/>
    <hyperlink ref="AP5725" r:id="rId7" display="http://cdsbib.u-strasbg.fr/cgi-bin/cdsbib?1990RMxAA..21..381G" xr:uid="{00000000-0004-0000-0000-000006000000}"/>
    <hyperlink ref="AP5723" r:id="rId8" display="http://cdsbib.u-strasbg.fr/cgi-bin/cdsbib?1990RMxAA..21..381G" xr:uid="{00000000-0004-0000-0000-000007000000}"/>
    <hyperlink ref="AP5707" r:id="rId9" display="http://cdsbib.u-strasbg.fr/cgi-bin/cdsbib?1990RMxAA..21..381G" xr:uid="{00000000-0004-0000-0000-000008000000}"/>
    <hyperlink ref="AQ5936" r:id="rId10" display="http://cdsbib.u-strasbg.fr/cgi-bin/cdsbib?1990RMxAA..21..381G" xr:uid="{00000000-0004-0000-0000-000009000000}"/>
    <hyperlink ref="AQ5940" r:id="rId11" display="http://cdsbib.u-strasbg.fr/cgi-bin/cdsbib?1990RMxAA..21..381G" xr:uid="{00000000-0004-0000-0000-00000A000000}"/>
    <hyperlink ref="AQ84" r:id="rId12" display="http://cdsbib.u-strasbg.fr/cgi-bin/cdsbib?1990RMxAA..21..381G" xr:uid="{00000000-0004-0000-0000-00000B000000}"/>
    <hyperlink ref="I2828" r:id="rId13" display="http://vsolj.cetus-net.org/bulletin.html" xr:uid="{00000000-0004-0000-0000-00000C000000}"/>
    <hyperlink ref="H2828" r:id="rId14" display="http://vsolj.cetus-net.org/bulletin.html" xr:uid="{00000000-0004-0000-0000-00000D000000}"/>
    <hyperlink ref="AQ745" r:id="rId15" display="http://cdsbib.u-strasbg.fr/cgi-bin/cdsbib?1990RMxAA..21..381G" xr:uid="{00000000-0004-0000-0000-00000E000000}"/>
    <hyperlink ref="AQ744" r:id="rId16" display="http://cdsbib.u-strasbg.fr/cgi-bin/cdsbib?1990RMxAA..21..381G" xr:uid="{00000000-0004-0000-0000-00000F000000}"/>
    <hyperlink ref="AP3998" r:id="rId17" display="http://cdsbib.u-strasbg.fr/cgi-bin/cdsbib?1990RMxAA..21..381G" xr:uid="{00000000-0004-0000-0000-000010000000}"/>
    <hyperlink ref="AP4016" r:id="rId18" display="http://cdsbib.u-strasbg.fr/cgi-bin/cdsbib?1990RMxAA..21..381G" xr:uid="{00000000-0004-0000-0000-000011000000}"/>
    <hyperlink ref="AP4017" r:id="rId19" display="http://cdsbib.u-strasbg.fr/cgi-bin/cdsbib?1990RMxAA..21..381G" xr:uid="{00000000-0004-0000-0000-000012000000}"/>
    <hyperlink ref="AP401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45"/>
  <sheetViews>
    <sheetView workbookViewId="0">
      <selection activeCell="B2" sqref="B2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3" width="8.5703125" customWidth="1"/>
    <col min="14" max="14" width="8" customWidth="1"/>
    <col min="15" max="15" width="7.7109375" customWidth="1"/>
    <col min="16" max="16" width="10.140625" style="12" bestFit="1" customWidth="1"/>
    <col min="17" max="17" width="15.28515625" style="13" bestFit="1" customWidth="1"/>
  </cols>
  <sheetData>
    <row r="1" spans="1:17" ht="20.25" x14ac:dyDescent="0.3">
      <c r="A1" s="1" t="s">
        <v>52</v>
      </c>
      <c r="C1" s="15"/>
      <c r="P1"/>
      <c r="Q1"/>
    </row>
    <row r="2" spans="1:17" x14ac:dyDescent="0.2">
      <c r="A2" t="s">
        <v>25</v>
      </c>
      <c r="B2" t="s">
        <v>43</v>
      </c>
      <c r="P2"/>
      <c r="Q2"/>
    </row>
    <row r="3" spans="1:17" ht="13.5" thickBot="1" x14ac:dyDescent="0.25">
      <c r="P3"/>
      <c r="Q3"/>
    </row>
    <row r="4" spans="1:17" ht="13.5" thickBot="1" x14ac:dyDescent="0.25">
      <c r="A4" s="7" t="s">
        <v>26</v>
      </c>
      <c r="C4" s="10">
        <v>48500.084999999999</v>
      </c>
      <c r="D4" s="11">
        <v>0.440413</v>
      </c>
      <c r="P4"/>
      <c r="Q4"/>
    </row>
    <row r="5" spans="1:17" x14ac:dyDescent="0.2">
      <c r="P5"/>
      <c r="Q5"/>
    </row>
    <row r="6" spans="1:17" x14ac:dyDescent="0.2">
      <c r="A6" s="7" t="s">
        <v>1</v>
      </c>
      <c r="P6"/>
      <c r="Q6"/>
    </row>
    <row r="7" spans="1:17" x14ac:dyDescent="0.2">
      <c r="A7" t="s">
        <v>2</v>
      </c>
      <c r="C7">
        <f>+C4</f>
        <v>48500.084999999999</v>
      </c>
      <c r="P7"/>
      <c r="Q7"/>
    </row>
    <row r="8" spans="1:17" x14ac:dyDescent="0.2">
      <c r="A8" t="s">
        <v>3</v>
      </c>
      <c r="C8">
        <f>+D4</f>
        <v>0.440413</v>
      </c>
      <c r="P8"/>
      <c r="Q8"/>
    </row>
    <row r="9" spans="1:17" x14ac:dyDescent="0.2">
      <c r="A9" s="27" t="s">
        <v>49</v>
      </c>
      <c r="C9" s="28">
        <v>8</v>
      </c>
      <c r="D9" t="s">
        <v>50</v>
      </c>
      <c r="P9"/>
      <c r="Q9"/>
    </row>
    <row r="10" spans="1:17" ht="13.5" thickBot="1" x14ac:dyDescent="0.25">
      <c r="C10" s="6" t="s">
        <v>20</v>
      </c>
      <c r="D10" s="6" t="s">
        <v>21</v>
      </c>
      <c r="P10"/>
      <c r="Q10"/>
    </row>
    <row r="11" spans="1:17" x14ac:dyDescent="0.2">
      <c r="A11" t="s">
        <v>16</v>
      </c>
      <c r="C11">
        <f>INTERCEPT(G21:G927,F21:F927)</f>
        <v>-5.4239538373666907E-2</v>
      </c>
      <c r="D11" s="5"/>
      <c r="P11"/>
      <c r="Q11"/>
    </row>
    <row r="12" spans="1:17" x14ac:dyDescent="0.2">
      <c r="A12" t="s">
        <v>17</v>
      </c>
      <c r="C12">
        <f>SLOPE(G21:G927,F21:F927)</f>
        <v>8.2383549281901095E-6</v>
      </c>
      <c r="D12" s="5"/>
      <c r="P12"/>
      <c r="Q12"/>
    </row>
    <row r="13" spans="1:17" x14ac:dyDescent="0.2">
      <c r="A13" t="s">
        <v>19</v>
      </c>
      <c r="C13" s="5" t="s">
        <v>14</v>
      </c>
      <c r="D13" s="5"/>
      <c r="P13"/>
      <c r="Q13"/>
    </row>
    <row r="14" spans="1:17" x14ac:dyDescent="0.2">
      <c r="A14" t="s">
        <v>24</v>
      </c>
      <c r="P14"/>
      <c r="Q14"/>
    </row>
    <row r="15" spans="1:17" x14ac:dyDescent="0.2">
      <c r="A15" s="2" t="s">
        <v>18</v>
      </c>
      <c r="C15" s="17">
        <f>(C7+C11)+(C8+C12)*INT(MAX(F21:F3533))</f>
        <v>54093.380487569215</v>
      </c>
      <c r="D15" s="19" t="s">
        <v>46</v>
      </c>
      <c r="E15" s="20">
        <f ca="1">TODAY()+15018.5-B9/24</f>
        <v>60329.5</v>
      </c>
      <c r="P15"/>
      <c r="Q15"/>
    </row>
    <row r="16" spans="1:17" x14ac:dyDescent="0.2">
      <c r="A16" s="7" t="s">
        <v>4</v>
      </c>
      <c r="C16" s="18">
        <f>+C8+C12</f>
        <v>0.44042123835492819</v>
      </c>
      <c r="D16" s="19" t="s">
        <v>47</v>
      </c>
      <c r="E16" s="20">
        <f ca="1">ROUND(2*(E15-C15)/C16,0)/2+0.5</f>
        <v>14160</v>
      </c>
      <c r="P16"/>
      <c r="Q16"/>
    </row>
    <row r="17" spans="1:17" ht="13.5" thickBot="1" x14ac:dyDescent="0.25">
      <c r="A17" s="19" t="s">
        <v>44</v>
      </c>
      <c r="C17">
        <f>COUNT(C21:C2191)</f>
        <v>11</v>
      </c>
      <c r="D17" s="19" t="s">
        <v>48</v>
      </c>
      <c r="E17" s="26">
        <f ca="1">+C15+C16*E16-15018.5+C9/24</f>
        <v>45311.578556008331</v>
      </c>
      <c r="P17"/>
      <c r="Q17">
        <f>SUM(Q21:Q25)</f>
        <v>2.9493797375449646E-3</v>
      </c>
    </row>
    <row r="18" spans="1:17" x14ac:dyDescent="0.2">
      <c r="A18" s="7" t="s">
        <v>5</v>
      </c>
      <c r="C18" s="3">
        <f>+C15</f>
        <v>54093.380487569215</v>
      </c>
      <c r="D18" s="4">
        <f>+C16</f>
        <v>0.44042123835492819</v>
      </c>
      <c r="E18" s="29" t="s">
        <v>51</v>
      </c>
      <c r="P18"/>
      <c r="Q18">
        <f>COUNT(Q21:Q25)</f>
        <v>3</v>
      </c>
    </row>
    <row r="19" spans="1:17" ht="13.5" thickTop="1" x14ac:dyDescent="0.2">
      <c r="P19"/>
      <c r="Q19">
        <f>SQRT(Q17/Q18)</f>
        <v>3.1354849372651351E-2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36</v>
      </c>
      <c r="K20" s="9" t="s">
        <v>37</v>
      </c>
      <c r="L20" s="9" t="s">
        <v>39</v>
      </c>
      <c r="M20" s="9" t="s">
        <v>38</v>
      </c>
      <c r="N20" s="9" t="s">
        <v>23</v>
      </c>
      <c r="O20" s="8" t="s">
        <v>22</v>
      </c>
      <c r="P20" s="6" t="s">
        <v>15</v>
      </c>
      <c r="Q20"/>
    </row>
    <row r="21" spans="1:17" x14ac:dyDescent="0.2">
      <c r="A21" s="33" t="s">
        <v>27</v>
      </c>
      <c r="C21" s="24">
        <v>48500.084999999999</v>
      </c>
      <c r="D21" s="24" t="s">
        <v>14</v>
      </c>
      <c r="E21">
        <f t="shared" ref="E21:E31" si="0">+(C21-C$7)/C$8</f>
        <v>0</v>
      </c>
      <c r="F21">
        <f t="shared" ref="F21:F31" si="1">ROUND(2*E21,0)/2</f>
        <v>0</v>
      </c>
      <c r="H21">
        <v>0</v>
      </c>
      <c r="N21">
        <f t="shared" ref="N21:N31" si="2">+C$11+C$12*F21</f>
        <v>-5.4239538373666907E-2</v>
      </c>
      <c r="P21" s="12">
        <f t="shared" ref="P21:P31" si="3">+C21-15018.5</f>
        <v>33481.584999999999</v>
      </c>
      <c r="Q21">
        <f>+(G21-N21)^2</f>
        <v>2.941927522988485E-3</v>
      </c>
    </row>
    <row r="22" spans="1:17" x14ac:dyDescent="0.2">
      <c r="A22" s="16" t="s">
        <v>33</v>
      </c>
      <c r="B22" s="31" t="s">
        <v>34</v>
      </c>
      <c r="C22" s="23">
        <v>51474.633829999999</v>
      </c>
      <c r="D22" s="23"/>
      <c r="E22">
        <f t="shared" si="0"/>
        <v>6753.9987012190822</v>
      </c>
      <c r="F22">
        <f t="shared" si="1"/>
        <v>6754</v>
      </c>
      <c r="G22">
        <f>+C22-(C$7+F22*C$8)</f>
        <v>-5.7199999719159678E-4</v>
      </c>
      <c r="I22">
        <f>G22</f>
        <v>-5.7199999719159678E-4</v>
      </c>
      <c r="J22" s="14"/>
      <c r="K22" s="14"/>
      <c r="L22" s="14"/>
      <c r="M22" s="14"/>
      <c r="N22">
        <f t="shared" si="2"/>
        <v>1.4023108113290911E-3</v>
      </c>
      <c r="P22" s="12">
        <f t="shared" si="3"/>
        <v>36456.133829999999</v>
      </c>
    </row>
    <row r="23" spans="1:17" x14ac:dyDescent="0.2">
      <c r="A23" s="16" t="s">
        <v>33</v>
      </c>
      <c r="B23" s="31" t="s">
        <v>35</v>
      </c>
      <c r="C23" s="23">
        <v>51474.85757</v>
      </c>
      <c r="D23" s="23"/>
      <c r="E23">
        <f t="shared" si="0"/>
        <v>6754.5067243700823</v>
      </c>
      <c r="F23">
        <f t="shared" si="1"/>
        <v>6754.5</v>
      </c>
      <c r="G23">
        <f>+C23-(C$7+F23*C$8)</f>
        <v>2.9615000021294691E-3</v>
      </c>
      <c r="I23">
        <f>G23</f>
        <v>2.9615000021294691E-3</v>
      </c>
      <c r="J23" s="14"/>
      <c r="K23" s="14"/>
      <c r="L23" s="14"/>
      <c r="M23" s="14"/>
      <c r="N23">
        <f t="shared" si="2"/>
        <v>1.4064299887931869E-3</v>
      </c>
      <c r="P23" s="12">
        <f t="shared" si="3"/>
        <v>36456.35757</v>
      </c>
    </row>
    <row r="24" spans="1:17" x14ac:dyDescent="0.2">
      <c r="A24" s="16" t="s">
        <v>33</v>
      </c>
      <c r="B24" s="31" t="s">
        <v>35</v>
      </c>
      <c r="C24" s="23">
        <v>51482.572899999999</v>
      </c>
      <c r="D24" s="23"/>
      <c r="E24">
        <f t="shared" si="0"/>
        <v>6772.0251218742405</v>
      </c>
      <c r="F24">
        <f t="shared" si="1"/>
        <v>6772</v>
      </c>
      <c r="I24" s="14"/>
      <c r="J24" s="14"/>
      <c r="K24" s="14"/>
      <c r="L24" s="14"/>
      <c r="M24" s="14">
        <v>1.1063999998441432E-2</v>
      </c>
      <c r="N24">
        <f t="shared" si="2"/>
        <v>1.5506012000365138E-3</v>
      </c>
      <c r="P24" s="12">
        <f t="shared" si="3"/>
        <v>36464.072899999999</v>
      </c>
      <c r="Q24">
        <f t="shared" ref="Q24:Q29" si="4">+(G24-N24)^2</f>
        <v>2.4043640815546768E-6</v>
      </c>
    </row>
    <row r="25" spans="1:17" x14ac:dyDescent="0.2">
      <c r="A25" s="16" t="s">
        <v>33</v>
      </c>
      <c r="B25" s="31" t="s">
        <v>34</v>
      </c>
      <c r="C25" s="23">
        <v>51519.800300000003</v>
      </c>
      <c r="D25" s="23"/>
      <c r="E25">
        <f t="shared" si="0"/>
        <v>6856.553507730252</v>
      </c>
      <c r="F25">
        <f t="shared" si="1"/>
        <v>6856.5</v>
      </c>
      <c r="I25" s="14"/>
      <c r="J25" s="14"/>
      <c r="K25" s="14"/>
      <c r="L25" s="14"/>
      <c r="M25" s="14">
        <v>2.3565499999676831E-2</v>
      </c>
      <c r="N25">
        <f t="shared" si="2"/>
        <v>2.2467421914685801E-3</v>
      </c>
      <c r="P25" s="12">
        <f t="shared" si="3"/>
        <v>36501.300300000003</v>
      </c>
      <c r="Q25">
        <f t="shared" si="4"/>
        <v>5.047850474925038E-6</v>
      </c>
    </row>
    <row r="26" spans="1:17" x14ac:dyDescent="0.2">
      <c r="A26" s="16" t="s">
        <v>29</v>
      </c>
      <c r="B26" s="31" t="s">
        <v>28</v>
      </c>
      <c r="C26" s="23">
        <v>52556.310700000002</v>
      </c>
      <c r="D26" s="23">
        <v>5.0000000000000001E-4</v>
      </c>
      <c r="E26">
        <f t="shared" si="0"/>
        <v>9210.0498849943178</v>
      </c>
      <c r="F26">
        <f t="shared" si="1"/>
        <v>9210</v>
      </c>
      <c r="G26">
        <f t="shared" ref="G26:G31" si="5">+C26-(C$7+F26*C$8)</f>
        <v>2.1970000001601875E-2</v>
      </c>
      <c r="I26">
        <f>G26</f>
        <v>2.1970000001601875E-2</v>
      </c>
      <c r="N26">
        <f t="shared" si="2"/>
        <v>2.1635710514964004E-2</v>
      </c>
      <c r="P26" s="12">
        <f t="shared" si="3"/>
        <v>37537.810700000002</v>
      </c>
      <c r="Q26">
        <f t="shared" si="4"/>
        <v>1.1174946087661093E-7</v>
      </c>
    </row>
    <row r="27" spans="1:17" x14ac:dyDescent="0.2">
      <c r="A27" s="16" t="s">
        <v>29</v>
      </c>
      <c r="B27" s="31" t="s">
        <v>30</v>
      </c>
      <c r="C27" s="23">
        <v>52556.530599999998</v>
      </c>
      <c r="D27" s="23">
        <v>4.0000000000000002E-4</v>
      </c>
      <c r="E27">
        <f t="shared" si="0"/>
        <v>9210.5491890566336</v>
      </c>
      <c r="F27">
        <f t="shared" si="1"/>
        <v>9210.5</v>
      </c>
      <c r="G27">
        <f t="shared" si="5"/>
        <v>2.1663499996066093E-2</v>
      </c>
      <c r="I27">
        <f>G27</f>
        <v>2.1663499996066093E-2</v>
      </c>
      <c r="N27">
        <f t="shared" si="2"/>
        <v>2.16398296924281E-2</v>
      </c>
      <c r="P27" s="12">
        <f t="shared" si="3"/>
        <v>37538.030599999998</v>
      </c>
      <c r="Q27">
        <f t="shared" si="4"/>
        <v>5.6028327431479229E-10</v>
      </c>
    </row>
    <row r="28" spans="1:17" x14ac:dyDescent="0.2">
      <c r="A28" s="16" t="s">
        <v>42</v>
      </c>
      <c r="B28" s="31" t="s">
        <v>28</v>
      </c>
      <c r="C28" s="23">
        <v>53086.1374</v>
      </c>
      <c r="D28" s="23">
        <v>1E-4</v>
      </c>
      <c r="E28">
        <f t="shared" si="0"/>
        <v>10413.072275341556</v>
      </c>
      <c r="F28">
        <f t="shared" si="1"/>
        <v>10413</v>
      </c>
      <c r="G28">
        <f t="shared" si="5"/>
        <v>3.1831000000238419E-2</v>
      </c>
      <c r="J28">
        <f>G28</f>
        <v>3.1831000000238419E-2</v>
      </c>
      <c r="N28">
        <f t="shared" si="2"/>
        <v>3.154645149357671E-2</v>
      </c>
      <c r="P28" s="12">
        <f t="shared" si="3"/>
        <v>38067.6374</v>
      </c>
      <c r="Q28">
        <f t="shared" si="4"/>
        <v>8.0967852643408179E-8</v>
      </c>
    </row>
    <row r="29" spans="1:17" x14ac:dyDescent="0.2">
      <c r="A29" s="32" t="s">
        <v>41</v>
      </c>
      <c r="B29" s="31"/>
      <c r="C29" s="23">
        <v>53351.711582971147</v>
      </c>
      <c r="D29" s="23">
        <v>1E-4</v>
      </c>
      <c r="E29">
        <f t="shared" si="0"/>
        <v>11016.083955221913</v>
      </c>
      <c r="F29">
        <f t="shared" si="1"/>
        <v>11016</v>
      </c>
      <c r="G29">
        <f t="shared" si="5"/>
        <v>3.6974971146264579E-2</v>
      </c>
      <c r="K29">
        <f>G29</f>
        <v>3.6974971146264579E-2</v>
      </c>
      <c r="N29">
        <f t="shared" si="2"/>
        <v>3.6514179515275344E-2</v>
      </c>
      <c r="P29" s="12">
        <f t="shared" si="3"/>
        <v>38333.211582971147</v>
      </c>
      <c r="Q29">
        <f t="shared" si="4"/>
        <v>2.1232892718971944E-7</v>
      </c>
    </row>
    <row r="30" spans="1:17" x14ac:dyDescent="0.2">
      <c r="A30" s="21" t="s">
        <v>45</v>
      </c>
      <c r="B30" s="22" t="s">
        <v>28</v>
      </c>
      <c r="C30" s="25">
        <v>54039.4274</v>
      </c>
      <c r="D30" s="23">
        <v>4.0000000000000002E-4</v>
      </c>
      <c r="E30">
        <f t="shared" si="0"/>
        <v>12577.608744519352</v>
      </c>
      <c r="F30">
        <f t="shared" si="1"/>
        <v>12577.5</v>
      </c>
      <c r="G30">
        <f t="shared" si="5"/>
        <v>4.7892499998852145E-2</v>
      </c>
      <c r="I30">
        <f>G30</f>
        <v>4.7892499998852145E-2</v>
      </c>
      <c r="N30">
        <f t="shared" si="2"/>
        <v>4.9378370735644189E-2</v>
      </c>
      <c r="P30" s="12">
        <f t="shared" si="3"/>
        <v>39020.9274</v>
      </c>
    </row>
    <row r="31" spans="1:17" x14ac:dyDescent="0.2">
      <c r="A31" s="34" t="s">
        <v>53</v>
      </c>
      <c r="B31" s="5"/>
      <c r="C31" s="24">
        <v>54093.601499999997</v>
      </c>
      <c r="D31" s="24">
        <v>2.9999999999999997E-4</v>
      </c>
      <c r="E31">
        <f t="shared" si="0"/>
        <v>12700.61623975677</v>
      </c>
      <c r="F31">
        <f t="shared" si="1"/>
        <v>12700.5</v>
      </c>
      <c r="G31">
        <f t="shared" si="5"/>
        <v>5.1193499995861202E-2</v>
      </c>
      <c r="K31">
        <f>G31</f>
        <v>5.1193499995861202E-2</v>
      </c>
      <c r="N31">
        <f t="shared" si="2"/>
        <v>5.0391688391811573E-2</v>
      </c>
      <c r="P31" s="12">
        <f t="shared" si="3"/>
        <v>39075.101499999997</v>
      </c>
    </row>
    <row r="32" spans="1:17" x14ac:dyDescent="0.2">
      <c r="B32" s="5"/>
      <c r="C32" s="24"/>
      <c r="D32" s="24"/>
    </row>
    <row r="33" spans="2:4" x14ac:dyDescent="0.2">
      <c r="B33" s="5"/>
      <c r="C33" s="24"/>
      <c r="D33" s="24"/>
    </row>
    <row r="34" spans="2:4" x14ac:dyDescent="0.2">
      <c r="B34" s="5"/>
      <c r="C34" s="24"/>
      <c r="D34" s="24"/>
    </row>
    <row r="35" spans="2:4" x14ac:dyDescent="0.2">
      <c r="B35" s="5"/>
      <c r="C35" s="24"/>
      <c r="D35" s="24"/>
    </row>
    <row r="36" spans="2:4" x14ac:dyDescent="0.2">
      <c r="B36" s="5"/>
      <c r="C36" s="24"/>
      <c r="D36" s="24"/>
    </row>
    <row r="37" spans="2:4" x14ac:dyDescent="0.2">
      <c r="B37" s="5"/>
      <c r="C37" s="24"/>
      <c r="D37" s="24"/>
    </row>
    <row r="38" spans="2:4" x14ac:dyDescent="0.2">
      <c r="B38" s="5"/>
      <c r="C38" s="24"/>
      <c r="D38" s="24"/>
    </row>
    <row r="39" spans="2:4" x14ac:dyDescent="0.2">
      <c r="B39" s="5"/>
      <c r="C39" s="24"/>
      <c r="D39" s="24"/>
    </row>
    <row r="40" spans="2:4" x14ac:dyDescent="0.2">
      <c r="B40" s="5"/>
      <c r="C40" s="24"/>
      <c r="D40" s="24"/>
    </row>
    <row r="41" spans="2:4" x14ac:dyDescent="0.2">
      <c r="B41" s="5"/>
      <c r="C41" s="24"/>
      <c r="D41" s="24"/>
    </row>
    <row r="42" spans="2:4" x14ac:dyDescent="0.2">
      <c r="B42" s="5"/>
      <c r="C42" s="24"/>
      <c r="D42" s="24"/>
    </row>
    <row r="43" spans="2:4" x14ac:dyDescent="0.2">
      <c r="B43" s="5"/>
      <c r="C43" s="24"/>
      <c r="D43" s="24"/>
    </row>
    <row r="44" spans="2:4" x14ac:dyDescent="0.2">
      <c r="B44" s="5"/>
    </row>
    <row r="45" spans="2:4" x14ac:dyDescent="0.2">
      <c r="B45" s="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2"/>
  </sheetPr>
  <dimension ref="A1:Q44"/>
  <sheetViews>
    <sheetView workbookViewId="0">
      <selection activeCell="C8" sqref="C8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3" width="8.5703125" customWidth="1"/>
    <col min="14" max="14" width="8" customWidth="1"/>
    <col min="15" max="15" width="7.7109375" customWidth="1"/>
    <col min="16" max="16" width="10.140625" style="12" bestFit="1" customWidth="1"/>
  </cols>
  <sheetData>
    <row r="1" spans="1:7" ht="20.25" x14ac:dyDescent="0.3">
      <c r="A1" s="1" t="s">
        <v>32</v>
      </c>
    </row>
    <row r="2" spans="1:7" x14ac:dyDescent="0.2">
      <c r="A2" t="s">
        <v>25</v>
      </c>
      <c r="B2" t="s">
        <v>43</v>
      </c>
      <c r="C2" s="28" t="s">
        <v>40</v>
      </c>
    </row>
    <row r="3" spans="1:7" ht="13.5" thickBot="1" x14ac:dyDescent="0.25"/>
    <row r="4" spans="1:7" ht="13.5" thickBot="1" x14ac:dyDescent="0.25">
      <c r="A4" s="7" t="s">
        <v>26</v>
      </c>
      <c r="C4" s="10">
        <v>48500.084999999999</v>
      </c>
      <c r="D4" s="11">
        <v>0.440413</v>
      </c>
    </row>
    <row r="6" spans="1:7" x14ac:dyDescent="0.2">
      <c r="A6" s="7" t="s">
        <v>1</v>
      </c>
    </row>
    <row r="7" spans="1:7" x14ac:dyDescent="0.2">
      <c r="A7" t="s">
        <v>2</v>
      </c>
      <c r="C7">
        <v>53086.1374</v>
      </c>
    </row>
    <row r="8" spans="1:7" x14ac:dyDescent="0.2">
      <c r="A8" t="s">
        <v>3</v>
      </c>
      <c r="C8">
        <v>0.44042137924584596</v>
      </c>
    </row>
    <row r="9" spans="1:7" x14ac:dyDescent="0.2">
      <c r="A9" s="40" t="s">
        <v>49</v>
      </c>
      <c r="B9" s="41"/>
      <c r="C9" s="42">
        <v>8</v>
      </c>
      <c r="D9" s="41" t="s">
        <v>50</v>
      </c>
      <c r="E9" s="41"/>
    </row>
    <row r="10" spans="1:7" ht="13.5" thickBot="1" x14ac:dyDescent="0.25">
      <c r="A10" s="41"/>
      <c r="B10" s="41"/>
      <c r="C10" s="6" t="s">
        <v>20</v>
      </c>
      <c r="D10" s="6" t="s">
        <v>21</v>
      </c>
      <c r="E10" s="41"/>
    </row>
    <row r="11" spans="1:7" x14ac:dyDescent="0.2">
      <c r="A11" s="41" t="s">
        <v>16</v>
      </c>
      <c r="B11" s="41"/>
      <c r="C11" s="43">
        <f ca="1">INTERCEPT(INDIRECT($G$11):G992,INDIRECT($F$11):F992)</f>
        <v>8.7015109717566974E-5</v>
      </c>
      <c r="D11" s="5"/>
      <c r="E11" s="41"/>
      <c r="F11" s="44" t="str">
        <f>"F"&amp;E19</f>
        <v>F21</v>
      </c>
      <c r="G11" s="14" t="str">
        <f>"G"&amp;E19</f>
        <v>G21</v>
      </c>
    </row>
    <row r="12" spans="1:7" x14ac:dyDescent="0.2">
      <c r="A12" s="41" t="s">
        <v>17</v>
      </c>
      <c r="B12" s="41"/>
      <c r="C12" s="43">
        <f ca="1">SLOPE(INDIRECT($G$11):G992,INDIRECT($F$11):F992)</f>
        <v>2.2310631497018289E-8</v>
      </c>
      <c r="D12" s="5"/>
      <c r="E12" s="41"/>
    </row>
    <row r="13" spans="1:7" x14ac:dyDescent="0.2">
      <c r="A13" s="41" t="s">
        <v>19</v>
      </c>
      <c r="B13" s="41"/>
      <c r="C13" s="5" t="s">
        <v>14</v>
      </c>
      <c r="D13" s="5"/>
      <c r="E13" s="41"/>
    </row>
    <row r="14" spans="1:7" x14ac:dyDescent="0.2">
      <c r="A14" s="41"/>
      <c r="B14" s="41"/>
      <c r="C14" s="41"/>
      <c r="D14" s="41"/>
      <c r="E14" s="41"/>
    </row>
    <row r="15" spans="1:7" x14ac:dyDescent="0.2">
      <c r="A15" s="45" t="s">
        <v>18</v>
      </c>
      <c r="B15" s="41"/>
      <c r="C15" s="17">
        <f ca="1">(C7+C11)+(C8+C12)*INT(MAX(F21:F3533))</f>
        <v>54819.636123541408</v>
      </c>
      <c r="D15" s="46" t="s">
        <v>46</v>
      </c>
      <c r="E15" s="47">
        <f ca="1">TODAY()+15018.5-B9/24</f>
        <v>60329.5</v>
      </c>
    </row>
    <row r="16" spans="1:7" x14ac:dyDescent="0.2">
      <c r="A16" s="48" t="s">
        <v>4</v>
      </c>
      <c r="B16" s="41"/>
      <c r="C16" s="18">
        <f ca="1">+C8+C12</f>
        <v>0.44042140155647747</v>
      </c>
      <c r="D16" s="46" t="s">
        <v>47</v>
      </c>
      <c r="E16" s="47">
        <f ca="1">ROUND(2*(E15-C15)/C16,0)/2+1</f>
        <v>12511.5</v>
      </c>
    </row>
    <row r="17" spans="1:17" ht="13.5" thickBot="1" x14ac:dyDescent="0.25">
      <c r="A17" s="46" t="s">
        <v>44</v>
      </c>
      <c r="B17" s="41"/>
      <c r="C17" s="41">
        <f>COUNT(C21:C2191)</f>
        <v>13</v>
      </c>
      <c r="D17" s="46" t="s">
        <v>48</v>
      </c>
      <c r="E17" s="49">
        <f ca="1">+C15+C16*E16-15018.5-C9/24</f>
        <v>45311.135155781936</v>
      </c>
      <c r="P17"/>
      <c r="Q17">
        <f>SUM(Q21:Q25)</f>
        <v>6.2289245977243546E-6</v>
      </c>
    </row>
    <row r="18" spans="1:17" ht="14.25" thickTop="1" thickBot="1" x14ac:dyDescent="0.25">
      <c r="A18" s="48" t="s">
        <v>5</v>
      </c>
      <c r="B18" s="41"/>
      <c r="C18" s="50">
        <f ca="1">+C15</f>
        <v>54819.636123541408</v>
      </c>
      <c r="D18" s="51">
        <f ca="1">+C16</f>
        <v>0.44042140155647747</v>
      </c>
      <c r="E18" s="29" t="s">
        <v>51</v>
      </c>
      <c r="P18"/>
      <c r="Q18">
        <f>COUNT(Q21:Q25)</f>
        <v>5</v>
      </c>
    </row>
    <row r="19" spans="1:17" ht="13.5" thickTop="1" x14ac:dyDescent="0.2">
      <c r="A19" s="52" t="s">
        <v>56</v>
      </c>
      <c r="E19" s="53">
        <v>21</v>
      </c>
      <c r="P19"/>
      <c r="Q19">
        <f>SQRT(Q17/Q18)</f>
        <v>1.1161473556591311E-3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33</v>
      </c>
      <c r="K20" s="9" t="s">
        <v>36</v>
      </c>
      <c r="L20" s="9" t="s">
        <v>37</v>
      </c>
      <c r="M20" s="9" t="s">
        <v>38</v>
      </c>
      <c r="N20" s="9" t="s">
        <v>23</v>
      </c>
      <c r="O20" s="8" t="s">
        <v>22</v>
      </c>
      <c r="P20" s="6" t="s">
        <v>15</v>
      </c>
    </row>
    <row r="21" spans="1:17" x14ac:dyDescent="0.2">
      <c r="A21" s="7" t="str">
        <f>'A (old)'!$D$21:$D$613</f>
        <v>na</v>
      </c>
      <c r="B21" s="5"/>
      <c r="C21" s="24">
        <v>48500.084999999999</v>
      </c>
      <c r="D21" s="24" t="s">
        <v>14</v>
      </c>
      <c r="E21">
        <f>+(C21-C$7)/C$8</f>
        <v>-10412.87416122467</v>
      </c>
      <c r="F21">
        <f>ROUND(2*E21,0)/2</f>
        <v>-10413</v>
      </c>
      <c r="H21" s="14">
        <v>-3.6430090040084906E-3</v>
      </c>
      <c r="I21" s="14"/>
      <c r="J21" s="14"/>
      <c r="P21" s="12">
        <f>+C21-15018.5</f>
        <v>33481.584999999999</v>
      </c>
      <c r="Q21">
        <f>+(G21-N21)^2</f>
        <v>0</v>
      </c>
    </row>
    <row r="22" spans="1:17" x14ac:dyDescent="0.2">
      <c r="A22" s="16" t="s">
        <v>33</v>
      </c>
      <c r="B22" s="31" t="s">
        <v>34</v>
      </c>
      <c r="C22" s="23">
        <v>51474.633829999999</v>
      </c>
      <c r="D22" s="23"/>
      <c r="E22">
        <f>+(C22-C$7)/C$8</f>
        <v>-3659.0039583442872</v>
      </c>
      <c r="F22">
        <f>ROUND(2*E22,0)/2</f>
        <v>-3659</v>
      </c>
      <c r="G22">
        <f>+C22-(C$7+F22*C$8)</f>
        <v>-1.7433394532417879E-3</v>
      </c>
      <c r="J22">
        <f>G22</f>
        <v>-1.7433394532417879E-3</v>
      </c>
      <c r="P22" s="12">
        <f>+C22-15018.5</f>
        <v>36456.133829999999</v>
      </c>
      <c r="Q22">
        <f>+(G22-N22)^2</f>
        <v>3.0392324492293756E-6</v>
      </c>
    </row>
    <row r="23" spans="1:17" x14ac:dyDescent="0.2">
      <c r="A23" s="16" t="s">
        <v>33</v>
      </c>
      <c r="B23" s="31" t="s">
        <v>35</v>
      </c>
      <c r="C23" s="23">
        <v>51474.85757</v>
      </c>
      <c r="D23" s="23"/>
      <c r="E23">
        <f t="shared" ref="E23:E33" si="0">+(C23-C$7)/C$8</f>
        <v>-3658.4959448586919</v>
      </c>
      <c r="F23">
        <f t="shared" ref="F23:F33" si="1">ROUND(2*E23,0)/2</f>
        <v>-3658.5</v>
      </c>
      <c r="G23">
        <f>+C23-(C$7+F23*C$8)</f>
        <v>1.7859709259937517E-3</v>
      </c>
      <c r="J23">
        <f>G23</f>
        <v>1.7859709259937517E-3</v>
      </c>
      <c r="P23" s="12">
        <f t="shared" ref="P23:P33" si="2">+C23-15018.5</f>
        <v>36456.35757</v>
      </c>
      <c r="Q23">
        <f t="shared" ref="Q23:Q33" si="3">+(G23-N23)^2</f>
        <v>3.189692148494979E-6</v>
      </c>
    </row>
    <row r="24" spans="1:17" x14ac:dyDescent="0.2">
      <c r="A24" s="16" t="s">
        <v>33</v>
      </c>
      <c r="B24" s="31" t="s">
        <v>35</v>
      </c>
      <c r="C24" s="23">
        <v>51482.572899999999</v>
      </c>
      <c r="D24" s="23"/>
      <c r="E24">
        <f t="shared" si="0"/>
        <v>-3640.9778806511586</v>
      </c>
      <c r="F24">
        <f t="shared" si="1"/>
        <v>-3641</v>
      </c>
      <c r="H24" s="14"/>
      <c r="I24" s="14"/>
      <c r="J24" s="14">
        <v>-1.0910812998190522E-2</v>
      </c>
      <c r="P24" s="12">
        <f t="shared" si="2"/>
        <v>36464.072899999999</v>
      </c>
      <c r="Q24">
        <f t="shared" si="3"/>
        <v>0</v>
      </c>
    </row>
    <row r="25" spans="1:17" x14ac:dyDescent="0.2">
      <c r="A25" s="16" t="s">
        <v>33</v>
      </c>
      <c r="B25" s="31" t="s">
        <v>34</v>
      </c>
      <c r="C25" s="23">
        <v>51519.800300000003</v>
      </c>
      <c r="D25" s="23"/>
      <c r="E25">
        <f t="shared" si="0"/>
        <v>-3556.4511029916598</v>
      </c>
      <c r="F25">
        <f t="shared" si="1"/>
        <v>-3556.5</v>
      </c>
      <c r="H25" s="14"/>
      <c r="I25" s="14"/>
      <c r="J25" s="14">
        <v>1.3619455057778396E-3</v>
      </c>
      <c r="P25" s="12">
        <f t="shared" si="2"/>
        <v>36501.300300000003</v>
      </c>
      <c r="Q25">
        <f t="shared" si="3"/>
        <v>0</v>
      </c>
    </row>
    <row r="26" spans="1:17" x14ac:dyDescent="0.2">
      <c r="A26" s="16" t="s">
        <v>29</v>
      </c>
      <c r="B26" s="31" t="s">
        <v>28</v>
      </c>
      <c r="C26" s="23">
        <v>52556.310700000002</v>
      </c>
      <c r="D26" s="23">
        <v>5.0000000000000001E-4</v>
      </c>
      <c r="E26">
        <f t="shared" si="0"/>
        <v>-1202.9995022204525</v>
      </c>
      <c r="F26">
        <f t="shared" si="1"/>
        <v>-1203</v>
      </c>
      <c r="G26">
        <f>+C26-(C$7+F26*C$8)</f>
        <v>2.1923275198787451E-4</v>
      </c>
      <c r="I26">
        <f>G26</f>
        <v>2.1923275198787451E-4</v>
      </c>
      <c r="N26">
        <f t="shared" ref="N26:N33" ca="1" si="4">+C$11+C$12*F26</f>
        <v>6.0175420026653973E-5</v>
      </c>
      <c r="P26" s="12">
        <f t="shared" si="2"/>
        <v>37537.810700000002</v>
      </c>
      <c r="Q26">
        <f t="shared" ca="1" si="3"/>
        <v>2.5299234850621911E-8</v>
      </c>
    </row>
    <row r="27" spans="1:17" x14ac:dyDescent="0.2">
      <c r="A27" s="16" t="s">
        <v>29</v>
      </c>
      <c r="B27" s="31" t="s">
        <v>30</v>
      </c>
      <c r="C27" s="23">
        <v>52556.530599999998</v>
      </c>
      <c r="D27" s="23">
        <v>4.0000000000000002E-4</v>
      </c>
      <c r="E27">
        <f t="shared" si="0"/>
        <v>-1202.5002076576568</v>
      </c>
      <c r="F27">
        <f t="shared" si="1"/>
        <v>-1202.5</v>
      </c>
      <c r="G27">
        <f>+C27-(C$7+F27*C$8)</f>
        <v>-9.1456873633433133E-5</v>
      </c>
      <c r="I27">
        <f>G27</f>
        <v>-9.1456873633433133E-5</v>
      </c>
      <c r="N27">
        <f t="shared" ca="1" si="4"/>
        <v>6.0186575342402487E-5</v>
      </c>
      <c r="P27" s="12">
        <f t="shared" si="2"/>
        <v>37538.030599999998</v>
      </c>
      <c r="Q27">
        <f t="shared" ca="1" si="3"/>
        <v>2.2995735617286862E-8</v>
      </c>
    </row>
    <row r="28" spans="1:17" x14ac:dyDescent="0.2">
      <c r="A28" s="16" t="s">
        <v>36</v>
      </c>
      <c r="B28" s="31" t="s">
        <v>28</v>
      </c>
      <c r="C28" s="23">
        <v>53086.1374</v>
      </c>
      <c r="D28" s="23">
        <v>1E-4</v>
      </c>
      <c r="E28">
        <f t="shared" si="0"/>
        <v>0</v>
      </c>
      <c r="F28">
        <f t="shared" si="1"/>
        <v>0</v>
      </c>
      <c r="G28">
        <f>+C28-(C$7+F28*C$8)</f>
        <v>0</v>
      </c>
      <c r="K28">
        <f>G28</f>
        <v>0</v>
      </c>
      <c r="N28">
        <f t="shared" ca="1" si="4"/>
        <v>8.7015109717566974E-5</v>
      </c>
      <c r="P28" s="12">
        <f t="shared" si="2"/>
        <v>38067.6374</v>
      </c>
      <c r="Q28">
        <f t="shared" ca="1" si="3"/>
        <v>7.5716293191602186E-9</v>
      </c>
    </row>
    <row r="29" spans="1:17" x14ac:dyDescent="0.2">
      <c r="A29" s="32" t="s">
        <v>41</v>
      </c>
      <c r="B29" s="31" t="s">
        <v>28</v>
      </c>
      <c r="C29" s="23">
        <v>53351.711582971147</v>
      </c>
      <c r="D29" s="23">
        <v>1E-4</v>
      </c>
      <c r="E29">
        <f t="shared" si="0"/>
        <v>603.00020726946286</v>
      </c>
      <c r="F29">
        <f t="shared" si="1"/>
        <v>603</v>
      </c>
      <c r="G29">
        <f>+C29-(C$7+F29*C$8)</f>
        <v>9.1285903181415051E-5</v>
      </c>
      <c r="L29">
        <f>G29</f>
        <v>9.1285903181415051E-5</v>
      </c>
      <c r="N29">
        <f t="shared" ca="1" si="4"/>
        <v>1.0046842051026901E-4</v>
      </c>
      <c r="P29" s="12">
        <f t="shared" si="2"/>
        <v>38333.211582971147</v>
      </c>
      <c r="Q29">
        <f t="shared" ca="1" si="3"/>
        <v>8.4318624494703217E-11</v>
      </c>
    </row>
    <row r="30" spans="1:17" x14ac:dyDescent="0.2">
      <c r="A30" s="35" t="s">
        <v>54</v>
      </c>
      <c r="B30" s="36" t="s">
        <v>28</v>
      </c>
      <c r="C30" s="38">
        <v>53966.538500000002</v>
      </c>
      <c r="D30" s="37">
        <v>6.9999999999999999E-4</v>
      </c>
      <c r="E30">
        <f t="shared" si="0"/>
        <v>1998.9971910708662</v>
      </c>
      <c r="F30">
        <f t="shared" si="1"/>
        <v>1999</v>
      </c>
      <c r="I30" s="14">
        <v>-1.2371124466881156E-3</v>
      </c>
      <c r="N30">
        <f t="shared" ca="1" si="4"/>
        <v>1.3161406208010652E-4</v>
      </c>
      <c r="P30" s="12">
        <f t="shared" si="2"/>
        <v>38948.038500000002</v>
      </c>
      <c r="Q30">
        <f t="shared" ca="1" si="3"/>
        <v>1.7322261337226132E-8</v>
      </c>
    </row>
    <row r="31" spans="1:17" x14ac:dyDescent="0.2">
      <c r="A31" s="21" t="s">
        <v>45</v>
      </c>
      <c r="B31" s="22" t="s">
        <v>28</v>
      </c>
      <c r="C31" s="30">
        <v>54039.4274</v>
      </c>
      <c r="D31" s="23">
        <v>4.0000000000000002E-4</v>
      </c>
      <c r="E31">
        <f t="shared" si="0"/>
        <v>2164.4952877454853</v>
      </c>
      <c r="F31">
        <f t="shared" si="1"/>
        <v>2164.5</v>
      </c>
      <c r="I31" s="14">
        <v>-2.0753776334458962E-3</v>
      </c>
      <c r="N31">
        <f t="shared" ca="1" si="4"/>
        <v>1.3530647159286306E-4</v>
      </c>
      <c r="P31" s="12">
        <f t="shared" si="2"/>
        <v>39020.9274</v>
      </c>
      <c r="Q31">
        <f t="shared" ca="1" si="3"/>
        <v>1.8307841254910257E-8</v>
      </c>
    </row>
    <row r="32" spans="1:17" x14ac:dyDescent="0.2">
      <c r="A32" s="34" t="s">
        <v>55</v>
      </c>
      <c r="B32" s="5"/>
      <c r="C32" s="24">
        <v>54093.601499999997</v>
      </c>
      <c r="D32" s="24">
        <v>2.9999999999999997E-4</v>
      </c>
      <c r="E32">
        <f t="shared" si="0"/>
        <v>2287.5004427013173</v>
      </c>
      <c r="F32">
        <f t="shared" si="1"/>
        <v>2287.5</v>
      </c>
      <c r="G32">
        <f>+C32-(C$7+F32*C$8)</f>
        <v>1.9497512403177097E-4</v>
      </c>
      <c r="L32">
        <f>G32</f>
        <v>1.9497512403177097E-4</v>
      </c>
      <c r="N32">
        <f t="shared" ca="1" si="4"/>
        <v>1.380506792669963E-4</v>
      </c>
      <c r="P32" s="12">
        <f t="shared" si="2"/>
        <v>39075.101499999997</v>
      </c>
      <c r="Q32">
        <f t="shared" ca="1" si="3"/>
        <v>3.2403924117778833E-9</v>
      </c>
    </row>
    <row r="33" spans="1:17" x14ac:dyDescent="0.2">
      <c r="A33" s="7" t="s">
        <v>57</v>
      </c>
      <c r="C33" s="39">
        <v>54819.629000000001</v>
      </c>
      <c r="D33" s="24">
        <v>2.0000000000000001E-4</v>
      </c>
      <c r="E33">
        <f t="shared" si="0"/>
        <v>3935.9842225832444</v>
      </c>
      <c r="F33">
        <f t="shared" si="1"/>
        <v>3936</v>
      </c>
      <c r="L33">
        <v>-6.9487116488744505E-3</v>
      </c>
      <c r="N33">
        <f t="shared" ca="1" si="4"/>
        <v>1.7482975528983097E-4</v>
      </c>
      <c r="P33" s="12">
        <f t="shared" si="2"/>
        <v>39801.129000000001</v>
      </c>
      <c r="Q33">
        <f t="shared" ca="1" si="3"/>
        <v>3.0565443334702179E-8</v>
      </c>
    </row>
    <row r="34" spans="1:17" x14ac:dyDescent="0.2">
      <c r="A34" s="54"/>
      <c r="B34" s="55"/>
      <c r="C34" s="23"/>
      <c r="D34" s="23"/>
    </row>
    <row r="35" spans="1:17" x14ac:dyDescent="0.2">
      <c r="A35" s="54"/>
      <c r="B35" s="55"/>
      <c r="C35" s="25"/>
      <c r="D35" s="25"/>
    </row>
    <row r="36" spans="1:17" x14ac:dyDescent="0.2">
      <c r="A36" s="56"/>
      <c r="B36" s="57"/>
      <c r="C36" s="25"/>
      <c r="D36" s="25"/>
    </row>
    <row r="37" spans="1:17" x14ac:dyDescent="0.2">
      <c r="C37" s="24"/>
      <c r="D37" s="24"/>
    </row>
    <row r="38" spans="1:17" x14ac:dyDescent="0.2">
      <c r="C38" s="24"/>
      <c r="D38" s="24"/>
    </row>
    <row r="39" spans="1:17" x14ac:dyDescent="0.2">
      <c r="C39" s="24"/>
      <c r="D39" s="24"/>
    </row>
    <row r="40" spans="1:17" x14ac:dyDescent="0.2">
      <c r="C40" s="24"/>
      <c r="D40" s="24"/>
    </row>
    <row r="41" spans="1:17" x14ac:dyDescent="0.2">
      <c r="C41" s="24"/>
      <c r="D41" s="24"/>
    </row>
    <row r="42" spans="1:17" x14ac:dyDescent="0.2">
      <c r="C42" s="24"/>
      <c r="D42" s="24"/>
    </row>
    <row r="43" spans="1:17" x14ac:dyDescent="0.2">
      <c r="C43" s="24"/>
      <c r="D43" s="24"/>
    </row>
    <row r="44" spans="1:17" x14ac:dyDescent="0.2">
      <c r="C44" s="24"/>
      <c r="D44" s="24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2"/>
  </sheetPr>
  <dimension ref="A1:P773"/>
  <sheetViews>
    <sheetView workbookViewId="0">
      <selection activeCell="A33" sqref="A33:D39"/>
    </sheetView>
  </sheetViews>
  <sheetFormatPr defaultRowHeight="12.75" x14ac:dyDescent="0.2"/>
  <cols>
    <col min="1" max="1" width="19.7109375" style="24" customWidth="1"/>
    <col min="2" max="2" width="4.42578125" style="41" customWidth="1"/>
    <col min="3" max="3" width="12.7109375" style="24" customWidth="1"/>
    <col min="4" max="4" width="5.42578125" style="41" customWidth="1"/>
    <col min="5" max="5" width="14.85546875" style="41" customWidth="1"/>
    <col min="6" max="6" width="9.140625" style="41"/>
    <col min="7" max="7" width="12" style="41" customWidth="1"/>
    <col min="8" max="8" width="14.140625" style="24" customWidth="1"/>
    <col min="9" max="9" width="22.5703125" style="41" customWidth="1"/>
    <col min="10" max="10" width="25.140625" style="41" customWidth="1"/>
    <col min="11" max="11" width="15.7109375" style="41" customWidth="1"/>
    <col min="12" max="12" width="14.140625" style="41" customWidth="1"/>
    <col min="13" max="13" width="9.5703125" style="41" customWidth="1"/>
    <col min="14" max="14" width="14.140625" style="41" customWidth="1"/>
    <col min="15" max="15" width="23.42578125" style="41" customWidth="1"/>
    <col min="16" max="16" width="16.5703125" style="41" customWidth="1"/>
    <col min="17" max="17" width="41" style="41" customWidth="1"/>
    <col min="18" max="16384" width="9.140625" style="41"/>
  </cols>
  <sheetData>
    <row r="1" spans="1:16" ht="15.75" x14ac:dyDescent="0.25">
      <c r="A1" s="69" t="s">
        <v>68</v>
      </c>
      <c r="I1" s="70" t="s">
        <v>69</v>
      </c>
      <c r="J1" s="71" t="s">
        <v>70</v>
      </c>
    </row>
    <row r="2" spans="1:16" x14ac:dyDescent="0.2">
      <c r="I2" s="72" t="s">
        <v>71</v>
      </c>
      <c r="J2" s="73" t="s">
        <v>72</v>
      </c>
    </row>
    <row r="3" spans="1:16" x14ac:dyDescent="0.2">
      <c r="A3" s="74" t="s">
        <v>73</v>
      </c>
      <c r="I3" s="72" t="s">
        <v>74</v>
      </c>
      <c r="J3" s="73" t="s">
        <v>75</v>
      </c>
    </row>
    <row r="4" spans="1:16" x14ac:dyDescent="0.2">
      <c r="I4" s="72" t="s">
        <v>76</v>
      </c>
      <c r="J4" s="73" t="s">
        <v>75</v>
      </c>
    </row>
    <row r="5" spans="1:16" ht="13.5" thickBot="1" x14ac:dyDescent="0.25">
      <c r="I5" s="75" t="s">
        <v>77</v>
      </c>
      <c r="J5" s="76" t="s">
        <v>78</v>
      </c>
    </row>
    <row r="10" spans="1:16" ht="13.5" thickBot="1" x14ac:dyDescent="0.25"/>
    <row r="11" spans="1:16" ht="12.75" customHeight="1" thickBot="1" x14ac:dyDescent="0.25">
      <c r="A11" s="24" t="str">
        <f t="shared" ref="A11:A39" si="0">P11</f>
        <v>IBVS 5407 </v>
      </c>
      <c r="B11" s="5" t="str">
        <f t="shared" ref="B11:B39" si="1">IF(H11=INT(H11),"I","II")</f>
        <v>I</v>
      </c>
      <c r="C11" s="24">
        <f t="shared" ref="C11:C39" si="2">1*G11</f>
        <v>52556.310700000002</v>
      </c>
      <c r="D11" s="41" t="str">
        <f t="shared" ref="D11:D39" si="3">VLOOKUP(F11,I$1:J$5,2,FALSE)</f>
        <v>vis</v>
      </c>
      <c r="E11" s="77">
        <f>VLOOKUP(C11,Active!C$21:E$971,3,FALSE)</f>
        <v>-1202.9995022204525</v>
      </c>
      <c r="F11" s="5" t="s">
        <v>77</v>
      </c>
      <c r="G11" s="41" t="str">
        <f t="shared" ref="G11:G39" si="4">MID(I11,3,LEN(I11)-3)</f>
        <v>52556.3107</v>
      </c>
      <c r="H11" s="24">
        <f t="shared" ref="H11:H39" si="5">1*K11</f>
        <v>127</v>
      </c>
      <c r="I11" s="78" t="s">
        <v>79</v>
      </c>
      <c r="J11" s="79" t="s">
        <v>80</v>
      </c>
      <c r="K11" s="78">
        <v>127</v>
      </c>
      <c r="L11" s="78" t="s">
        <v>81</v>
      </c>
      <c r="M11" s="79" t="s">
        <v>82</v>
      </c>
      <c r="N11" s="79" t="s">
        <v>83</v>
      </c>
      <c r="O11" s="80" t="s">
        <v>84</v>
      </c>
      <c r="P11" s="81" t="s">
        <v>85</v>
      </c>
    </row>
    <row r="12" spans="1:16" ht="12.75" customHeight="1" thickBot="1" x14ac:dyDescent="0.25">
      <c r="A12" s="24" t="str">
        <f t="shared" si="0"/>
        <v>IBVS 5407 </v>
      </c>
      <c r="B12" s="5" t="str">
        <f t="shared" si="1"/>
        <v>II</v>
      </c>
      <c r="C12" s="24">
        <f t="shared" si="2"/>
        <v>52556.530599999998</v>
      </c>
      <c r="D12" s="41" t="str">
        <f t="shared" si="3"/>
        <v>vis</v>
      </c>
      <c r="E12" s="77">
        <f>VLOOKUP(C12,Active!C$21:E$971,3,FALSE)</f>
        <v>-1202.5002076576568</v>
      </c>
      <c r="F12" s="5" t="s">
        <v>77</v>
      </c>
      <c r="G12" s="41" t="str">
        <f t="shared" si="4"/>
        <v>52556.5306</v>
      </c>
      <c r="H12" s="24">
        <f t="shared" si="5"/>
        <v>127.5</v>
      </c>
      <c r="I12" s="78" t="s">
        <v>86</v>
      </c>
      <c r="J12" s="79" t="s">
        <v>87</v>
      </c>
      <c r="K12" s="78">
        <v>127.5</v>
      </c>
      <c r="L12" s="78" t="s">
        <v>88</v>
      </c>
      <c r="M12" s="79" t="s">
        <v>82</v>
      </c>
      <c r="N12" s="79" t="s">
        <v>83</v>
      </c>
      <c r="O12" s="80" t="s">
        <v>84</v>
      </c>
      <c r="P12" s="81" t="s">
        <v>85</v>
      </c>
    </row>
    <row r="13" spans="1:16" ht="12.75" customHeight="1" thickBot="1" x14ac:dyDescent="0.25">
      <c r="A13" s="24" t="str">
        <f t="shared" si="0"/>
        <v>IBVS 5592 </v>
      </c>
      <c r="B13" s="5" t="str">
        <f t="shared" si="1"/>
        <v>I</v>
      </c>
      <c r="C13" s="24">
        <f t="shared" si="2"/>
        <v>53086.1374</v>
      </c>
      <c r="D13" s="41" t="str">
        <f t="shared" si="3"/>
        <v>vis</v>
      </c>
      <c r="E13" s="77">
        <f>VLOOKUP(C13,Active!C$21:E$971,3,FALSE)</f>
        <v>0</v>
      </c>
      <c r="F13" s="5" t="s">
        <v>77</v>
      </c>
      <c r="G13" s="41" t="str">
        <f t="shared" si="4"/>
        <v>53086.1374</v>
      </c>
      <c r="H13" s="24">
        <f t="shared" si="5"/>
        <v>1330</v>
      </c>
      <c r="I13" s="78" t="s">
        <v>89</v>
      </c>
      <c r="J13" s="79" t="s">
        <v>90</v>
      </c>
      <c r="K13" s="78">
        <v>1330</v>
      </c>
      <c r="L13" s="78" t="s">
        <v>91</v>
      </c>
      <c r="M13" s="79" t="s">
        <v>82</v>
      </c>
      <c r="N13" s="79" t="s">
        <v>83</v>
      </c>
      <c r="O13" s="80" t="s">
        <v>92</v>
      </c>
      <c r="P13" s="81" t="s">
        <v>93</v>
      </c>
    </row>
    <row r="14" spans="1:16" ht="12.75" customHeight="1" thickBot="1" x14ac:dyDescent="0.25">
      <c r="A14" s="24" t="str">
        <f t="shared" si="0"/>
        <v>IBVS 5777 </v>
      </c>
      <c r="B14" s="5" t="str">
        <f t="shared" si="1"/>
        <v>I</v>
      </c>
      <c r="C14" s="24">
        <f t="shared" si="2"/>
        <v>53966.538500000002</v>
      </c>
      <c r="D14" s="41" t="str">
        <f t="shared" si="3"/>
        <v>vis</v>
      </c>
      <c r="E14" s="77">
        <f>VLOOKUP(C14,Active!C$21:E$971,3,FALSE)</f>
        <v>1998.9971910708662</v>
      </c>
      <c r="F14" s="5" t="s">
        <v>77</v>
      </c>
      <c r="G14" s="41" t="str">
        <f t="shared" si="4"/>
        <v>53966.5385</v>
      </c>
      <c r="H14" s="24">
        <f t="shared" si="5"/>
        <v>3329</v>
      </c>
      <c r="I14" s="78" t="s">
        <v>99</v>
      </c>
      <c r="J14" s="79" t="s">
        <v>100</v>
      </c>
      <c r="K14" s="78">
        <v>3329</v>
      </c>
      <c r="L14" s="78" t="s">
        <v>101</v>
      </c>
      <c r="M14" s="79" t="s">
        <v>102</v>
      </c>
      <c r="N14" s="79" t="s">
        <v>103</v>
      </c>
      <c r="O14" s="80" t="s">
        <v>104</v>
      </c>
      <c r="P14" s="81" t="s">
        <v>105</v>
      </c>
    </row>
    <row r="15" spans="1:16" ht="12.75" customHeight="1" thickBot="1" x14ac:dyDescent="0.25">
      <c r="A15" s="24" t="str">
        <f t="shared" si="0"/>
        <v>IBVS 5736 </v>
      </c>
      <c r="B15" s="5" t="str">
        <f t="shared" si="1"/>
        <v>II</v>
      </c>
      <c r="C15" s="24">
        <f t="shared" si="2"/>
        <v>54039.4274</v>
      </c>
      <c r="D15" s="41" t="str">
        <f t="shared" si="3"/>
        <v>vis</v>
      </c>
      <c r="E15" s="77">
        <f>VLOOKUP(C15,Active!C$21:E$971,3,FALSE)</f>
        <v>2164.4952877454853</v>
      </c>
      <c r="F15" s="5" t="s">
        <v>77</v>
      </c>
      <c r="G15" s="41" t="str">
        <f t="shared" si="4"/>
        <v>54039.4274</v>
      </c>
      <c r="H15" s="24">
        <f t="shared" si="5"/>
        <v>3494.5</v>
      </c>
      <c r="I15" s="78" t="s">
        <v>106</v>
      </c>
      <c r="J15" s="79" t="s">
        <v>107</v>
      </c>
      <c r="K15" s="78">
        <v>3494.5</v>
      </c>
      <c r="L15" s="78" t="s">
        <v>101</v>
      </c>
      <c r="M15" s="79" t="s">
        <v>82</v>
      </c>
      <c r="N15" s="79" t="s">
        <v>83</v>
      </c>
      <c r="O15" s="80" t="s">
        <v>108</v>
      </c>
      <c r="P15" s="81" t="s">
        <v>109</v>
      </c>
    </row>
    <row r="16" spans="1:16" ht="12.75" customHeight="1" thickBot="1" x14ac:dyDescent="0.25">
      <c r="A16" s="24" t="str">
        <f t="shared" si="0"/>
        <v>IBVS 5760 </v>
      </c>
      <c r="B16" s="5" t="str">
        <f t="shared" si="1"/>
        <v>II</v>
      </c>
      <c r="C16" s="24">
        <f t="shared" si="2"/>
        <v>54093.601499999997</v>
      </c>
      <c r="D16" s="41" t="str">
        <f t="shared" si="3"/>
        <v>vis</v>
      </c>
      <c r="E16" s="77">
        <f>VLOOKUP(C16,Active!C$21:E$971,3,FALSE)</f>
        <v>2287.5004427013173</v>
      </c>
      <c r="F16" s="5" t="s">
        <v>77</v>
      </c>
      <c r="G16" s="41" t="str">
        <f t="shared" si="4"/>
        <v>54093.6015</v>
      </c>
      <c r="H16" s="24">
        <f t="shared" si="5"/>
        <v>3617.5</v>
      </c>
      <c r="I16" s="78" t="s">
        <v>110</v>
      </c>
      <c r="J16" s="79" t="s">
        <v>111</v>
      </c>
      <c r="K16" s="78">
        <v>3617.5</v>
      </c>
      <c r="L16" s="78" t="s">
        <v>112</v>
      </c>
      <c r="M16" s="79" t="s">
        <v>102</v>
      </c>
      <c r="N16" s="79" t="s">
        <v>113</v>
      </c>
      <c r="O16" s="80" t="s">
        <v>114</v>
      </c>
      <c r="P16" s="81" t="s">
        <v>115</v>
      </c>
    </row>
    <row r="17" spans="1:16" ht="12.75" customHeight="1" thickBot="1" x14ac:dyDescent="0.25">
      <c r="A17" s="24" t="str">
        <f t="shared" si="0"/>
        <v>IBVS 5898 </v>
      </c>
      <c r="B17" s="5" t="str">
        <f t="shared" si="1"/>
        <v>II</v>
      </c>
      <c r="C17" s="24">
        <f t="shared" si="2"/>
        <v>54700.496200000001</v>
      </c>
      <c r="D17" s="41" t="str">
        <f t="shared" si="3"/>
        <v>vis</v>
      </c>
      <c r="E17" s="77">
        <f>VLOOKUP(C17,Active!C$21:E$971,3,FALSE)</f>
        <v>3665.4869088424898</v>
      </c>
      <c r="F17" s="5" t="s">
        <v>77</v>
      </c>
      <c r="G17" s="41" t="str">
        <f t="shared" si="4"/>
        <v>54700.4962</v>
      </c>
      <c r="H17" s="24">
        <f t="shared" si="5"/>
        <v>4995.5</v>
      </c>
      <c r="I17" s="78" t="s">
        <v>116</v>
      </c>
      <c r="J17" s="79" t="s">
        <v>117</v>
      </c>
      <c r="K17" s="78">
        <v>4995.5</v>
      </c>
      <c r="L17" s="78" t="s">
        <v>118</v>
      </c>
      <c r="M17" s="79" t="s">
        <v>102</v>
      </c>
      <c r="N17" s="79" t="s">
        <v>77</v>
      </c>
      <c r="O17" s="80" t="s">
        <v>119</v>
      </c>
      <c r="P17" s="81" t="s">
        <v>120</v>
      </c>
    </row>
    <row r="18" spans="1:16" ht="12.75" customHeight="1" thickBot="1" x14ac:dyDescent="0.25">
      <c r="A18" s="24" t="str">
        <f t="shared" si="0"/>
        <v>IBVS 5887 </v>
      </c>
      <c r="B18" s="5" t="str">
        <f t="shared" si="1"/>
        <v>I</v>
      </c>
      <c r="C18" s="24">
        <f t="shared" si="2"/>
        <v>54788.3554</v>
      </c>
      <c r="D18" s="41" t="str">
        <f t="shared" si="3"/>
        <v>vis</v>
      </c>
      <c r="E18" s="77">
        <f>VLOOKUP(C18,Active!C$21:E$971,3,FALSE)</f>
        <v>3864.9758622408112</v>
      </c>
      <c r="F18" s="5" t="s">
        <v>77</v>
      </c>
      <c r="G18" s="41" t="str">
        <f t="shared" si="4"/>
        <v>54788.3554</v>
      </c>
      <c r="H18" s="24">
        <f t="shared" si="5"/>
        <v>5195</v>
      </c>
      <c r="I18" s="78" t="s">
        <v>121</v>
      </c>
      <c r="J18" s="79" t="s">
        <v>122</v>
      </c>
      <c r="K18" s="78">
        <v>5195</v>
      </c>
      <c r="L18" s="78" t="s">
        <v>123</v>
      </c>
      <c r="M18" s="79" t="s">
        <v>102</v>
      </c>
      <c r="N18" s="79" t="s">
        <v>124</v>
      </c>
      <c r="O18" s="80" t="s">
        <v>125</v>
      </c>
      <c r="P18" s="81" t="s">
        <v>126</v>
      </c>
    </row>
    <row r="19" spans="1:16" ht="12.75" customHeight="1" thickBot="1" x14ac:dyDescent="0.25">
      <c r="A19" s="24" t="str">
        <f t="shared" si="0"/>
        <v>IBVS 5875 </v>
      </c>
      <c r="B19" s="5" t="str">
        <f t="shared" si="1"/>
        <v>I</v>
      </c>
      <c r="C19" s="24">
        <f t="shared" si="2"/>
        <v>54819.629000000001</v>
      </c>
      <c r="D19" s="41" t="str">
        <f t="shared" si="3"/>
        <v>vis</v>
      </c>
      <c r="E19" s="77">
        <f>VLOOKUP(C19,Active!C$21:E$971,3,FALSE)</f>
        <v>3935.9842225832444</v>
      </c>
      <c r="F19" s="5" t="s">
        <v>77</v>
      </c>
      <c r="G19" s="41" t="str">
        <f t="shared" si="4"/>
        <v>54819.629</v>
      </c>
      <c r="H19" s="24">
        <f t="shared" si="5"/>
        <v>5266</v>
      </c>
      <c r="I19" s="78" t="s">
        <v>127</v>
      </c>
      <c r="J19" s="79" t="s">
        <v>128</v>
      </c>
      <c r="K19" s="78">
        <v>5266</v>
      </c>
      <c r="L19" s="78" t="s">
        <v>129</v>
      </c>
      <c r="M19" s="79" t="s">
        <v>102</v>
      </c>
      <c r="N19" s="79" t="s">
        <v>113</v>
      </c>
      <c r="O19" s="80" t="s">
        <v>97</v>
      </c>
      <c r="P19" s="81" t="s">
        <v>130</v>
      </c>
    </row>
    <row r="20" spans="1:16" ht="12.75" customHeight="1" thickBot="1" x14ac:dyDescent="0.25">
      <c r="A20" s="24" t="str">
        <f t="shared" si="0"/>
        <v>IBVS 5966 </v>
      </c>
      <c r="B20" s="5" t="str">
        <f t="shared" si="1"/>
        <v>II</v>
      </c>
      <c r="C20" s="24">
        <f t="shared" si="2"/>
        <v>55202.570500000002</v>
      </c>
      <c r="D20" s="41" t="str">
        <f t="shared" si="3"/>
        <v>vis</v>
      </c>
      <c r="E20" s="77">
        <f>VLOOKUP(C20,Active!C$21:E$971,3,FALSE)</f>
        <v>4805.4731212732431</v>
      </c>
      <c r="F20" s="5" t="s">
        <v>77</v>
      </c>
      <c r="G20" s="41" t="str">
        <f t="shared" si="4"/>
        <v>55202.5705</v>
      </c>
      <c r="H20" s="24">
        <f t="shared" si="5"/>
        <v>6135.5</v>
      </c>
      <c r="I20" s="78" t="s">
        <v>136</v>
      </c>
      <c r="J20" s="79" t="s">
        <v>137</v>
      </c>
      <c r="K20" s="78">
        <v>6135.5</v>
      </c>
      <c r="L20" s="78" t="s">
        <v>138</v>
      </c>
      <c r="M20" s="79" t="s">
        <v>102</v>
      </c>
      <c r="N20" s="79" t="s">
        <v>113</v>
      </c>
      <c r="O20" s="80" t="s">
        <v>97</v>
      </c>
      <c r="P20" s="81" t="s">
        <v>139</v>
      </c>
    </row>
    <row r="21" spans="1:16" ht="12.75" customHeight="1" thickBot="1" x14ac:dyDescent="0.25">
      <c r="A21" s="24" t="str">
        <f t="shared" si="0"/>
        <v>IBVS 6044 </v>
      </c>
      <c r="B21" s="5" t="str">
        <f t="shared" si="1"/>
        <v>II</v>
      </c>
      <c r="C21" s="24">
        <f t="shared" si="2"/>
        <v>55779.514999999999</v>
      </c>
      <c r="D21" s="41" t="str">
        <f t="shared" si="3"/>
        <v>vis</v>
      </c>
      <c r="E21" s="77">
        <f>VLOOKUP(C21,Active!C$21:E$971,3,FALSE)</f>
        <v>6115.4560766600289</v>
      </c>
      <c r="F21" s="5" t="s">
        <v>77</v>
      </c>
      <c r="G21" s="41" t="str">
        <f t="shared" si="4"/>
        <v>55779.5150</v>
      </c>
      <c r="H21" s="24">
        <f t="shared" si="5"/>
        <v>7445.5</v>
      </c>
      <c r="I21" s="78" t="s">
        <v>153</v>
      </c>
      <c r="J21" s="79" t="s">
        <v>154</v>
      </c>
      <c r="K21" s="78">
        <v>7445.5</v>
      </c>
      <c r="L21" s="78" t="s">
        <v>155</v>
      </c>
      <c r="M21" s="79" t="s">
        <v>102</v>
      </c>
      <c r="N21" s="79" t="s">
        <v>77</v>
      </c>
      <c r="O21" s="80" t="s">
        <v>119</v>
      </c>
      <c r="P21" s="81" t="s">
        <v>156</v>
      </c>
    </row>
    <row r="22" spans="1:16" ht="12.75" customHeight="1" thickBot="1" x14ac:dyDescent="0.25">
      <c r="A22" s="24" t="str">
        <f t="shared" si="0"/>
        <v>OEJV 0160 </v>
      </c>
      <c r="B22" s="5" t="str">
        <f t="shared" si="1"/>
        <v>I</v>
      </c>
      <c r="C22" s="24">
        <f t="shared" si="2"/>
        <v>55872.665529999998</v>
      </c>
      <c r="D22" s="41" t="str">
        <f t="shared" si="3"/>
        <v>vis</v>
      </c>
      <c r="E22" s="77">
        <f>VLOOKUP(C22,Active!C$21:E$971,3,FALSE)</f>
        <v>6326.9592742557152</v>
      </c>
      <c r="F22" s="5" t="s">
        <v>77</v>
      </c>
      <c r="G22" s="41" t="str">
        <f t="shared" si="4"/>
        <v>55872.66553</v>
      </c>
      <c r="H22" s="24">
        <f t="shared" si="5"/>
        <v>7657</v>
      </c>
      <c r="I22" s="78" t="s">
        <v>162</v>
      </c>
      <c r="J22" s="79" t="s">
        <v>163</v>
      </c>
      <c r="K22" s="78" t="s">
        <v>164</v>
      </c>
      <c r="L22" s="78" t="s">
        <v>165</v>
      </c>
      <c r="M22" s="79" t="s">
        <v>102</v>
      </c>
      <c r="N22" s="79" t="s">
        <v>77</v>
      </c>
      <c r="O22" s="80" t="s">
        <v>166</v>
      </c>
      <c r="P22" s="81" t="s">
        <v>167</v>
      </c>
    </row>
    <row r="23" spans="1:16" ht="12.75" customHeight="1" thickBot="1" x14ac:dyDescent="0.25">
      <c r="A23" s="24" t="str">
        <f t="shared" si="0"/>
        <v>OEJV 0160 </v>
      </c>
      <c r="B23" s="5" t="str">
        <f t="shared" si="1"/>
        <v>I</v>
      </c>
      <c r="C23" s="24">
        <f t="shared" si="2"/>
        <v>55872.665529999998</v>
      </c>
      <c r="D23" s="41" t="str">
        <f t="shared" si="3"/>
        <v>vis</v>
      </c>
      <c r="E23" s="77">
        <f>VLOOKUP(C23,Active!C$21:E$971,3,FALSE)</f>
        <v>6326.9592742557152</v>
      </c>
      <c r="F23" s="5" t="s">
        <v>77</v>
      </c>
      <c r="G23" s="41" t="str">
        <f t="shared" si="4"/>
        <v>55872.66553</v>
      </c>
      <c r="H23" s="24">
        <f t="shared" si="5"/>
        <v>7657</v>
      </c>
      <c r="I23" s="78" t="s">
        <v>162</v>
      </c>
      <c r="J23" s="79" t="s">
        <v>163</v>
      </c>
      <c r="K23" s="78" t="s">
        <v>164</v>
      </c>
      <c r="L23" s="78" t="s">
        <v>165</v>
      </c>
      <c r="M23" s="79" t="s">
        <v>102</v>
      </c>
      <c r="N23" s="79" t="s">
        <v>113</v>
      </c>
      <c r="O23" s="80" t="s">
        <v>166</v>
      </c>
      <c r="P23" s="81" t="s">
        <v>167</v>
      </c>
    </row>
    <row r="24" spans="1:16" ht="12.75" customHeight="1" thickBot="1" x14ac:dyDescent="0.25">
      <c r="A24" s="24" t="str">
        <f t="shared" si="0"/>
        <v>OEJV 0160 </v>
      </c>
      <c r="B24" s="5" t="str">
        <f t="shared" si="1"/>
        <v>I</v>
      </c>
      <c r="C24" s="24">
        <f t="shared" si="2"/>
        <v>55872.665529999998</v>
      </c>
      <c r="D24" s="41" t="str">
        <f t="shared" si="3"/>
        <v>vis</v>
      </c>
      <c r="E24" s="77">
        <f>VLOOKUP(C24,Active!C$21:E$971,3,FALSE)</f>
        <v>6326.9592742557152</v>
      </c>
      <c r="F24" s="5" t="s">
        <v>77</v>
      </c>
      <c r="G24" s="41" t="str">
        <f t="shared" si="4"/>
        <v>55872.66553</v>
      </c>
      <c r="H24" s="24">
        <f t="shared" si="5"/>
        <v>7657</v>
      </c>
      <c r="I24" s="78" t="s">
        <v>162</v>
      </c>
      <c r="J24" s="79" t="s">
        <v>163</v>
      </c>
      <c r="K24" s="78" t="s">
        <v>164</v>
      </c>
      <c r="L24" s="78" t="s">
        <v>165</v>
      </c>
      <c r="M24" s="79" t="s">
        <v>102</v>
      </c>
      <c r="N24" s="79" t="s">
        <v>168</v>
      </c>
      <c r="O24" s="80" t="s">
        <v>166</v>
      </c>
      <c r="P24" s="81" t="s">
        <v>167</v>
      </c>
    </row>
    <row r="25" spans="1:16" ht="12.75" customHeight="1" thickBot="1" x14ac:dyDescent="0.25">
      <c r="A25" s="24" t="str">
        <f t="shared" si="0"/>
        <v>IBVS 6114 </v>
      </c>
      <c r="B25" s="5" t="str">
        <f t="shared" si="1"/>
        <v>I</v>
      </c>
      <c r="C25" s="24">
        <f t="shared" si="2"/>
        <v>56155.408940000001</v>
      </c>
      <c r="D25" s="41" t="str">
        <f t="shared" si="3"/>
        <v>vis</v>
      </c>
      <c r="E25" s="77">
        <f>VLOOKUP(C25,Active!C$21:E$971,3,FALSE)</f>
        <v>6968.9431181920781</v>
      </c>
      <c r="F25" s="5" t="s">
        <v>77</v>
      </c>
      <c r="G25" s="41" t="str">
        <f t="shared" si="4"/>
        <v>56155.40894</v>
      </c>
      <c r="H25" s="24">
        <f t="shared" si="5"/>
        <v>8299</v>
      </c>
      <c r="I25" s="78" t="s">
        <v>169</v>
      </c>
      <c r="J25" s="79" t="s">
        <v>170</v>
      </c>
      <c r="K25" s="78" t="s">
        <v>171</v>
      </c>
      <c r="L25" s="78" t="s">
        <v>172</v>
      </c>
      <c r="M25" s="79" t="s">
        <v>102</v>
      </c>
      <c r="N25" s="79" t="s">
        <v>113</v>
      </c>
      <c r="O25" s="80" t="s">
        <v>173</v>
      </c>
      <c r="P25" s="81" t="s">
        <v>174</v>
      </c>
    </row>
    <row r="26" spans="1:16" ht="12.75" customHeight="1" thickBot="1" x14ac:dyDescent="0.25">
      <c r="A26" s="24" t="str">
        <f t="shared" si="0"/>
        <v>IBVS 6044 </v>
      </c>
      <c r="B26" s="5" t="str">
        <f t="shared" si="1"/>
        <v>II</v>
      </c>
      <c r="C26" s="24">
        <f t="shared" si="2"/>
        <v>56156.512000000002</v>
      </c>
      <c r="D26" s="41" t="str">
        <f t="shared" si="3"/>
        <v>vis</v>
      </c>
      <c r="E26" s="77">
        <f>VLOOKUP(C26,Active!C$21:E$971,3,FALSE)</f>
        <v>6971.4476741741018</v>
      </c>
      <c r="F26" s="5" t="s">
        <v>77</v>
      </c>
      <c r="G26" s="41" t="str">
        <f t="shared" si="4"/>
        <v>56156.5120</v>
      </c>
      <c r="H26" s="24">
        <f t="shared" si="5"/>
        <v>8301.5</v>
      </c>
      <c r="I26" s="78" t="s">
        <v>175</v>
      </c>
      <c r="J26" s="79" t="s">
        <v>176</v>
      </c>
      <c r="K26" s="78" t="s">
        <v>177</v>
      </c>
      <c r="L26" s="78" t="s">
        <v>178</v>
      </c>
      <c r="M26" s="79" t="s">
        <v>102</v>
      </c>
      <c r="N26" s="79" t="s">
        <v>77</v>
      </c>
      <c r="O26" s="80" t="s">
        <v>119</v>
      </c>
      <c r="P26" s="81" t="s">
        <v>156</v>
      </c>
    </row>
    <row r="27" spans="1:16" ht="12.75" customHeight="1" thickBot="1" x14ac:dyDescent="0.25">
      <c r="A27" s="24" t="str">
        <f t="shared" si="0"/>
        <v>BAVM 231 </v>
      </c>
      <c r="B27" s="5" t="str">
        <f t="shared" si="1"/>
        <v>II</v>
      </c>
      <c r="C27" s="24">
        <f t="shared" si="2"/>
        <v>56220.371299999999</v>
      </c>
      <c r="D27" s="41" t="str">
        <f t="shared" si="3"/>
        <v>vis</v>
      </c>
      <c r="E27" s="77">
        <f>VLOOKUP(C27,Active!C$21:E$971,3,FALSE)</f>
        <v>7116.4435872002714</v>
      </c>
      <c r="F27" s="5" t="s">
        <v>77</v>
      </c>
      <c r="G27" s="41" t="str">
        <f t="shared" si="4"/>
        <v>56220.3713</v>
      </c>
      <c r="H27" s="24">
        <f t="shared" si="5"/>
        <v>8446.5</v>
      </c>
      <c r="I27" s="78" t="s">
        <v>179</v>
      </c>
      <c r="J27" s="79" t="s">
        <v>180</v>
      </c>
      <c r="K27" s="78" t="s">
        <v>181</v>
      </c>
      <c r="L27" s="78" t="s">
        <v>182</v>
      </c>
      <c r="M27" s="79" t="s">
        <v>102</v>
      </c>
      <c r="N27" s="79" t="s">
        <v>159</v>
      </c>
      <c r="O27" s="80" t="s">
        <v>160</v>
      </c>
      <c r="P27" s="81" t="s">
        <v>183</v>
      </c>
    </row>
    <row r="28" spans="1:16" ht="12.75" customHeight="1" thickBot="1" x14ac:dyDescent="0.25">
      <c r="A28" s="24" t="str">
        <f t="shared" si="0"/>
        <v>IBVS 6044 </v>
      </c>
      <c r="B28" s="5" t="str">
        <f t="shared" si="1"/>
        <v>II</v>
      </c>
      <c r="C28" s="24">
        <f t="shared" si="2"/>
        <v>56221.251100000001</v>
      </c>
      <c r="D28" s="41" t="str">
        <f t="shared" si="3"/>
        <v>vis</v>
      </c>
      <c r="E28" s="77">
        <f>VLOOKUP(C28,Active!C$21:E$971,3,FALSE)</f>
        <v>7118.4412195620544</v>
      </c>
      <c r="F28" s="5" t="s">
        <v>77</v>
      </c>
      <c r="G28" s="41" t="str">
        <f t="shared" si="4"/>
        <v>56221.2511</v>
      </c>
      <c r="H28" s="24">
        <f t="shared" si="5"/>
        <v>8448.5</v>
      </c>
      <c r="I28" s="78" t="s">
        <v>184</v>
      </c>
      <c r="J28" s="79" t="s">
        <v>185</v>
      </c>
      <c r="K28" s="78" t="s">
        <v>186</v>
      </c>
      <c r="L28" s="78" t="s">
        <v>187</v>
      </c>
      <c r="M28" s="79" t="s">
        <v>102</v>
      </c>
      <c r="N28" s="79" t="s">
        <v>77</v>
      </c>
      <c r="O28" s="80" t="s">
        <v>119</v>
      </c>
      <c r="P28" s="81" t="s">
        <v>156</v>
      </c>
    </row>
    <row r="29" spans="1:16" ht="12.75" customHeight="1" thickBot="1" x14ac:dyDescent="0.25">
      <c r="A29" s="24" t="str">
        <f t="shared" si="0"/>
        <v>IBVS 6044 </v>
      </c>
      <c r="B29" s="5" t="str">
        <f t="shared" si="1"/>
        <v>I</v>
      </c>
      <c r="C29" s="24">
        <f t="shared" si="2"/>
        <v>56221.472500000003</v>
      </c>
      <c r="D29" s="41" t="str">
        <f t="shared" si="3"/>
        <v>vis</v>
      </c>
      <c r="E29" s="77">
        <f>VLOOKUP(C29,Active!C$21:E$971,3,FALSE)</f>
        <v>7118.9439199540775</v>
      </c>
      <c r="F29" s="5" t="s">
        <v>77</v>
      </c>
      <c r="G29" s="41" t="str">
        <f t="shared" si="4"/>
        <v>56221.4725</v>
      </c>
      <c r="H29" s="24">
        <f t="shared" si="5"/>
        <v>8449</v>
      </c>
      <c r="I29" s="78" t="s">
        <v>188</v>
      </c>
      <c r="J29" s="79" t="s">
        <v>189</v>
      </c>
      <c r="K29" s="78" t="s">
        <v>190</v>
      </c>
      <c r="L29" s="78" t="s">
        <v>191</v>
      </c>
      <c r="M29" s="79" t="s">
        <v>102</v>
      </c>
      <c r="N29" s="79" t="s">
        <v>77</v>
      </c>
      <c r="O29" s="80" t="s">
        <v>119</v>
      </c>
      <c r="P29" s="81" t="s">
        <v>156</v>
      </c>
    </row>
    <row r="30" spans="1:16" ht="12.75" customHeight="1" thickBot="1" x14ac:dyDescent="0.25">
      <c r="A30" s="24" t="str">
        <f t="shared" si="0"/>
        <v>IBVS 6114 </v>
      </c>
      <c r="B30" s="5" t="str">
        <f t="shared" si="1"/>
        <v>II</v>
      </c>
      <c r="C30" s="24">
        <f t="shared" si="2"/>
        <v>56500.482980000001</v>
      </c>
      <c r="D30" s="41" t="str">
        <f t="shared" si="3"/>
        <v>vis</v>
      </c>
      <c r="E30" s="77">
        <f>VLOOKUP(C30,Active!C$21:E$971,3,FALSE)</f>
        <v>7752.4519491913497</v>
      </c>
      <c r="F30" s="5" t="s">
        <v>77</v>
      </c>
      <c r="G30" s="41" t="str">
        <f t="shared" si="4"/>
        <v>56500.48298</v>
      </c>
      <c r="H30" s="24">
        <f t="shared" si="5"/>
        <v>9082.5</v>
      </c>
      <c r="I30" s="78" t="s">
        <v>192</v>
      </c>
      <c r="J30" s="79" t="s">
        <v>193</v>
      </c>
      <c r="K30" s="78" t="s">
        <v>194</v>
      </c>
      <c r="L30" s="78" t="s">
        <v>195</v>
      </c>
      <c r="M30" s="79" t="s">
        <v>102</v>
      </c>
      <c r="N30" s="79" t="s">
        <v>69</v>
      </c>
      <c r="O30" s="80" t="s">
        <v>173</v>
      </c>
      <c r="P30" s="81" t="s">
        <v>174</v>
      </c>
    </row>
    <row r="31" spans="1:16" ht="12.75" customHeight="1" thickBot="1" x14ac:dyDescent="0.25">
      <c r="A31" s="24" t="str">
        <f t="shared" si="0"/>
        <v>IBVS 6114 </v>
      </c>
      <c r="B31" s="5" t="str">
        <f t="shared" si="1"/>
        <v>I</v>
      </c>
      <c r="C31" s="24">
        <f t="shared" si="2"/>
        <v>56542.535550000001</v>
      </c>
      <c r="D31" s="41" t="str">
        <f t="shared" si="3"/>
        <v>vis</v>
      </c>
      <c r="E31" s="77">
        <f>VLOOKUP(C31,Active!C$21:E$971,3,FALSE)</f>
        <v>7847.93453015054</v>
      </c>
      <c r="F31" s="5" t="s">
        <v>77</v>
      </c>
      <c r="G31" s="41" t="str">
        <f t="shared" si="4"/>
        <v>56542.53555</v>
      </c>
      <c r="H31" s="24">
        <f t="shared" si="5"/>
        <v>9178</v>
      </c>
      <c r="I31" s="78" t="s">
        <v>196</v>
      </c>
      <c r="J31" s="79" t="s">
        <v>197</v>
      </c>
      <c r="K31" s="78" t="s">
        <v>198</v>
      </c>
      <c r="L31" s="78" t="s">
        <v>199</v>
      </c>
      <c r="M31" s="79" t="s">
        <v>102</v>
      </c>
      <c r="N31" s="79" t="s">
        <v>113</v>
      </c>
      <c r="O31" s="80" t="s">
        <v>173</v>
      </c>
      <c r="P31" s="81" t="s">
        <v>174</v>
      </c>
    </row>
    <row r="32" spans="1:16" ht="12.75" customHeight="1" thickBot="1" x14ac:dyDescent="0.25">
      <c r="A32" s="24" t="str">
        <f t="shared" si="0"/>
        <v>IBVS 6125 </v>
      </c>
      <c r="B32" s="5" t="str">
        <f t="shared" si="1"/>
        <v>I</v>
      </c>
      <c r="C32" s="24">
        <f t="shared" si="2"/>
        <v>56638.544999999998</v>
      </c>
      <c r="D32" s="41" t="str">
        <f t="shared" si="3"/>
        <v>vis</v>
      </c>
      <c r="E32" s="77">
        <f>VLOOKUP(C32,Active!C$21:E$971,3,FALSE)</f>
        <v>8065.9290565842912</v>
      </c>
      <c r="F32" s="5" t="s">
        <v>77</v>
      </c>
      <c r="G32" s="41" t="str">
        <f t="shared" si="4"/>
        <v>56638.5450</v>
      </c>
      <c r="H32" s="24">
        <f t="shared" si="5"/>
        <v>9396</v>
      </c>
      <c r="I32" s="78" t="s">
        <v>200</v>
      </c>
      <c r="J32" s="79" t="s">
        <v>201</v>
      </c>
      <c r="K32" s="78" t="s">
        <v>202</v>
      </c>
      <c r="L32" s="78" t="s">
        <v>203</v>
      </c>
      <c r="M32" s="79" t="s">
        <v>102</v>
      </c>
      <c r="N32" s="79" t="s">
        <v>124</v>
      </c>
      <c r="O32" s="80" t="s">
        <v>204</v>
      </c>
      <c r="P32" s="81" t="s">
        <v>205</v>
      </c>
    </row>
    <row r="33" spans="1:16" ht="12.75" customHeight="1" thickBot="1" x14ac:dyDescent="0.25">
      <c r="A33" s="24" t="str">
        <f t="shared" si="0"/>
        <v>IBVS 5602 </v>
      </c>
      <c r="B33" s="5" t="str">
        <f t="shared" si="1"/>
        <v>I</v>
      </c>
      <c r="C33" s="24">
        <f t="shared" si="2"/>
        <v>53351.711600000002</v>
      </c>
      <c r="D33" s="41" t="str">
        <f t="shared" si="3"/>
        <v>vis</v>
      </c>
      <c r="E33" s="77" t="e">
        <f>VLOOKUP(C33,Active!C$21:E$971,3,FALSE)</f>
        <v>#N/A</v>
      </c>
      <c r="F33" s="5" t="s">
        <v>77</v>
      </c>
      <c r="G33" s="41" t="str">
        <f t="shared" si="4"/>
        <v>53351.7116</v>
      </c>
      <c r="H33" s="24">
        <f t="shared" si="5"/>
        <v>1933</v>
      </c>
      <c r="I33" s="78" t="s">
        <v>94</v>
      </c>
      <c r="J33" s="79" t="s">
        <v>95</v>
      </c>
      <c r="K33" s="78">
        <v>1933</v>
      </c>
      <c r="L33" s="78" t="s">
        <v>96</v>
      </c>
      <c r="M33" s="79" t="s">
        <v>82</v>
      </c>
      <c r="N33" s="79" t="s">
        <v>83</v>
      </c>
      <c r="O33" s="80" t="s">
        <v>97</v>
      </c>
      <c r="P33" s="81" t="s">
        <v>98</v>
      </c>
    </row>
    <row r="34" spans="1:16" ht="12.75" customHeight="1" thickBot="1" x14ac:dyDescent="0.25">
      <c r="A34" s="24" t="str">
        <f t="shared" si="0"/>
        <v>BAVM 212 </v>
      </c>
      <c r="B34" s="5" t="str">
        <f t="shared" si="1"/>
        <v>I</v>
      </c>
      <c r="C34" s="24">
        <f t="shared" si="2"/>
        <v>55154.345099999999</v>
      </c>
      <c r="D34" s="41" t="str">
        <f t="shared" si="3"/>
        <v>vis</v>
      </c>
      <c r="E34" s="77">
        <f>VLOOKUP(C34,Active!C$21:E$971,3,FALSE)</f>
        <v>4695.9748038151265</v>
      </c>
      <c r="F34" s="5" t="s">
        <v>77</v>
      </c>
      <c r="G34" s="41" t="str">
        <f t="shared" si="4"/>
        <v>55154.3451</v>
      </c>
      <c r="H34" s="24">
        <f t="shared" si="5"/>
        <v>6026</v>
      </c>
      <c r="I34" s="78" t="s">
        <v>131</v>
      </c>
      <c r="J34" s="79" t="s">
        <v>132</v>
      </c>
      <c r="K34" s="78">
        <v>6026</v>
      </c>
      <c r="L34" s="78" t="s">
        <v>133</v>
      </c>
      <c r="M34" s="79" t="s">
        <v>102</v>
      </c>
      <c r="N34" s="79" t="s">
        <v>103</v>
      </c>
      <c r="O34" s="80" t="s">
        <v>134</v>
      </c>
      <c r="P34" s="81" t="s">
        <v>135</v>
      </c>
    </row>
    <row r="35" spans="1:16" ht="12.75" customHeight="1" thickBot="1" x14ac:dyDescent="0.25">
      <c r="A35" s="24" t="str">
        <f t="shared" si="0"/>
        <v>IBVS 5980 </v>
      </c>
      <c r="B35" s="5" t="str">
        <f t="shared" si="1"/>
        <v>II</v>
      </c>
      <c r="C35" s="24">
        <f t="shared" si="2"/>
        <v>55223.268799999998</v>
      </c>
      <c r="D35" s="41" t="str">
        <f t="shared" si="3"/>
        <v>vis</v>
      </c>
      <c r="E35" s="77">
        <f>VLOOKUP(C35,Active!C$21:E$971,3,FALSE)</f>
        <v>4852.4697044896138</v>
      </c>
      <c r="F35" s="5" t="s">
        <v>77</v>
      </c>
      <c r="G35" s="41" t="str">
        <f t="shared" si="4"/>
        <v>55223.2688</v>
      </c>
      <c r="H35" s="24">
        <f t="shared" si="5"/>
        <v>6182.5</v>
      </c>
      <c r="I35" s="78" t="s">
        <v>140</v>
      </c>
      <c r="J35" s="79" t="s">
        <v>141</v>
      </c>
      <c r="K35" s="78">
        <v>6182.5</v>
      </c>
      <c r="L35" s="78" t="s">
        <v>142</v>
      </c>
      <c r="M35" s="79" t="s">
        <v>102</v>
      </c>
      <c r="N35" s="79" t="s">
        <v>113</v>
      </c>
      <c r="O35" s="80" t="s">
        <v>119</v>
      </c>
      <c r="P35" s="81" t="s">
        <v>143</v>
      </c>
    </row>
    <row r="36" spans="1:16" ht="12.75" customHeight="1" thickBot="1" x14ac:dyDescent="0.25">
      <c r="A36" s="24" t="str">
        <f t="shared" si="0"/>
        <v>IBVS 5980 </v>
      </c>
      <c r="B36" s="5" t="str">
        <f t="shared" si="1"/>
        <v>I</v>
      </c>
      <c r="C36" s="24">
        <f t="shared" si="2"/>
        <v>55397.450900000003</v>
      </c>
      <c r="D36" s="41" t="str">
        <f t="shared" si="3"/>
        <v>vis</v>
      </c>
      <c r="E36" s="77">
        <f>VLOOKUP(C36,Active!C$21:E$971,3,FALSE)</f>
        <v>5247.9593610050761</v>
      </c>
      <c r="F36" s="5" t="s">
        <v>77</v>
      </c>
      <c r="G36" s="41" t="str">
        <f t="shared" si="4"/>
        <v>55397.4509</v>
      </c>
      <c r="H36" s="24">
        <f t="shared" si="5"/>
        <v>6578</v>
      </c>
      <c r="I36" s="78" t="s">
        <v>144</v>
      </c>
      <c r="J36" s="79" t="s">
        <v>145</v>
      </c>
      <c r="K36" s="78">
        <v>6578</v>
      </c>
      <c r="L36" s="78" t="s">
        <v>146</v>
      </c>
      <c r="M36" s="79" t="s">
        <v>102</v>
      </c>
      <c r="N36" s="79" t="s">
        <v>113</v>
      </c>
      <c r="O36" s="80" t="s">
        <v>119</v>
      </c>
      <c r="P36" s="81" t="s">
        <v>143</v>
      </c>
    </row>
    <row r="37" spans="1:16" ht="12.75" customHeight="1" thickBot="1" x14ac:dyDescent="0.25">
      <c r="A37" s="24" t="str">
        <f t="shared" si="0"/>
        <v>IBVS 5980 </v>
      </c>
      <c r="B37" s="5" t="str">
        <f t="shared" si="1"/>
        <v>II</v>
      </c>
      <c r="C37" s="24">
        <f t="shared" si="2"/>
        <v>55421.452700000002</v>
      </c>
      <c r="D37" s="41" t="str">
        <f t="shared" si="3"/>
        <v>vis</v>
      </c>
      <c r="E37" s="77">
        <f>VLOOKUP(C37,Active!C$21:E$971,3,FALSE)</f>
        <v>5302.4567154275555</v>
      </c>
      <c r="F37" s="5" t="s">
        <v>77</v>
      </c>
      <c r="G37" s="41" t="str">
        <f t="shared" si="4"/>
        <v>55421.4527</v>
      </c>
      <c r="H37" s="24">
        <f t="shared" si="5"/>
        <v>6632.5</v>
      </c>
      <c r="I37" s="78" t="s">
        <v>147</v>
      </c>
      <c r="J37" s="79" t="s">
        <v>148</v>
      </c>
      <c r="K37" s="78">
        <v>6632.5</v>
      </c>
      <c r="L37" s="78" t="s">
        <v>149</v>
      </c>
      <c r="M37" s="79" t="s">
        <v>102</v>
      </c>
      <c r="N37" s="79" t="s">
        <v>113</v>
      </c>
      <c r="O37" s="80" t="s">
        <v>119</v>
      </c>
      <c r="P37" s="81" t="s">
        <v>143</v>
      </c>
    </row>
    <row r="38" spans="1:16" ht="12.75" customHeight="1" thickBot="1" x14ac:dyDescent="0.25">
      <c r="A38" s="24" t="str">
        <f t="shared" si="0"/>
        <v>IBVS 5980 </v>
      </c>
      <c r="B38" s="5" t="str">
        <f t="shared" si="1"/>
        <v>I</v>
      </c>
      <c r="C38" s="24">
        <f t="shared" si="2"/>
        <v>55475.407800000001</v>
      </c>
      <c r="D38" s="41" t="str">
        <f t="shared" si="3"/>
        <v>vis</v>
      </c>
      <c r="E38" s="77">
        <f>VLOOKUP(C38,Active!C$21:E$971,3,FALSE)</f>
        <v>5424.9646193181179</v>
      </c>
      <c r="F38" s="5" t="s">
        <v>77</v>
      </c>
      <c r="G38" s="41" t="str">
        <f t="shared" si="4"/>
        <v>55475.4078</v>
      </c>
      <c r="H38" s="24">
        <f t="shared" si="5"/>
        <v>6755</v>
      </c>
      <c r="I38" s="78" t="s">
        <v>150</v>
      </c>
      <c r="J38" s="79" t="s">
        <v>151</v>
      </c>
      <c r="K38" s="78">
        <v>6755</v>
      </c>
      <c r="L38" s="78" t="s">
        <v>152</v>
      </c>
      <c r="M38" s="79" t="s">
        <v>102</v>
      </c>
      <c r="N38" s="79" t="s">
        <v>113</v>
      </c>
      <c r="O38" s="80" t="s">
        <v>119</v>
      </c>
      <c r="P38" s="81" t="s">
        <v>143</v>
      </c>
    </row>
    <row r="39" spans="1:16" ht="12.75" customHeight="1" thickBot="1" x14ac:dyDescent="0.25">
      <c r="A39" s="24" t="str">
        <f t="shared" si="0"/>
        <v>BAVM 225 </v>
      </c>
      <c r="B39" s="5" t="str">
        <f t="shared" si="1"/>
        <v>I</v>
      </c>
      <c r="C39" s="24">
        <f t="shared" si="2"/>
        <v>55804.398999999998</v>
      </c>
      <c r="D39" s="41" t="str">
        <f t="shared" si="3"/>
        <v>vis</v>
      </c>
      <c r="E39" s="77">
        <f>VLOOKUP(C39,Active!C$21:E$971,3,FALSE)</f>
        <v>6171.9565127710284</v>
      </c>
      <c r="F39" s="5" t="s">
        <v>77</v>
      </c>
      <c r="G39" s="41" t="str">
        <f t="shared" si="4"/>
        <v>55804.3990</v>
      </c>
      <c r="H39" s="24">
        <f t="shared" si="5"/>
        <v>7502</v>
      </c>
      <c r="I39" s="78" t="s">
        <v>157</v>
      </c>
      <c r="J39" s="79" t="s">
        <v>158</v>
      </c>
      <c r="K39" s="78">
        <v>7502</v>
      </c>
      <c r="L39" s="78" t="s">
        <v>112</v>
      </c>
      <c r="M39" s="79" t="s">
        <v>102</v>
      </c>
      <c r="N39" s="79" t="s">
        <v>159</v>
      </c>
      <c r="O39" s="80" t="s">
        <v>160</v>
      </c>
      <c r="P39" s="81" t="s">
        <v>161</v>
      </c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</sheetData>
  <phoneticPr fontId="7" type="noConversion"/>
  <hyperlinks>
    <hyperlink ref="P11" r:id="rId1" display="http://www.konkoly.hu/cgi-bin/IBVS?5407" xr:uid="{00000000-0004-0000-0300-000000000000}"/>
    <hyperlink ref="P12" r:id="rId2" display="http://www.konkoly.hu/cgi-bin/IBVS?5407" xr:uid="{00000000-0004-0000-0300-000001000000}"/>
    <hyperlink ref="P13" r:id="rId3" display="http://www.konkoly.hu/cgi-bin/IBVS?5592" xr:uid="{00000000-0004-0000-0300-000002000000}"/>
    <hyperlink ref="P33" r:id="rId4" display="http://www.konkoly.hu/cgi-bin/IBVS?5602" xr:uid="{00000000-0004-0000-0300-000003000000}"/>
    <hyperlink ref="P14" r:id="rId5" display="http://www.konkoly.hu/cgi-bin/IBVS?5777" xr:uid="{00000000-0004-0000-0300-000004000000}"/>
    <hyperlink ref="P15" r:id="rId6" display="http://www.konkoly.hu/cgi-bin/IBVS?5736" xr:uid="{00000000-0004-0000-0300-000005000000}"/>
    <hyperlink ref="P16" r:id="rId7" display="http://www.konkoly.hu/cgi-bin/IBVS?5760" xr:uid="{00000000-0004-0000-0300-000006000000}"/>
    <hyperlink ref="P17" r:id="rId8" display="http://www.konkoly.hu/cgi-bin/IBVS?5898" xr:uid="{00000000-0004-0000-0300-000007000000}"/>
    <hyperlink ref="P18" r:id="rId9" display="http://www.konkoly.hu/cgi-bin/IBVS?5887" xr:uid="{00000000-0004-0000-0300-000008000000}"/>
    <hyperlink ref="P19" r:id="rId10" display="http://www.konkoly.hu/cgi-bin/IBVS?5875" xr:uid="{00000000-0004-0000-0300-000009000000}"/>
    <hyperlink ref="P34" r:id="rId11" display="http://www.bav-astro.de/sfs/BAVM_link.php?BAVMnr=212" xr:uid="{00000000-0004-0000-0300-00000A000000}"/>
    <hyperlink ref="P20" r:id="rId12" display="http://www.konkoly.hu/cgi-bin/IBVS?5966" xr:uid="{00000000-0004-0000-0300-00000B000000}"/>
    <hyperlink ref="P35" r:id="rId13" display="http://www.konkoly.hu/cgi-bin/IBVS?5980" xr:uid="{00000000-0004-0000-0300-00000C000000}"/>
    <hyperlink ref="P36" r:id="rId14" display="http://www.konkoly.hu/cgi-bin/IBVS?5980" xr:uid="{00000000-0004-0000-0300-00000D000000}"/>
    <hyperlink ref="P37" r:id="rId15" display="http://www.konkoly.hu/cgi-bin/IBVS?5980" xr:uid="{00000000-0004-0000-0300-00000E000000}"/>
    <hyperlink ref="P38" r:id="rId16" display="http://www.konkoly.hu/cgi-bin/IBVS?5980" xr:uid="{00000000-0004-0000-0300-00000F000000}"/>
    <hyperlink ref="P21" r:id="rId17" display="http://www.konkoly.hu/cgi-bin/IBVS?6044" xr:uid="{00000000-0004-0000-0300-000010000000}"/>
    <hyperlink ref="P39" r:id="rId18" display="http://www.bav-astro.de/sfs/BAVM_link.php?BAVMnr=225" xr:uid="{00000000-0004-0000-0300-000011000000}"/>
    <hyperlink ref="P22" r:id="rId19" display="http://var.astro.cz/oejv/issues/oejv0160.pdf" xr:uid="{00000000-0004-0000-0300-000012000000}"/>
    <hyperlink ref="P23" r:id="rId20" display="http://var.astro.cz/oejv/issues/oejv0160.pdf" xr:uid="{00000000-0004-0000-0300-000013000000}"/>
    <hyperlink ref="P24" r:id="rId21" display="http://var.astro.cz/oejv/issues/oejv0160.pdf" xr:uid="{00000000-0004-0000-0300-000014000000}"/>
    <hyperlink ref="P25" r:id="rId22" display="http://www.konkoly.hu/cgi-bin/IBVS?6114" xr:uid="{00000000-0004-0000-0300-000015000000}"/>
    <hyperlink ref="P26" r:id="rId23" display="http://www.konkoly.hu/cgi-bin/IBVS?6044" xr:uid="{00000000-0004-0000-0300-000016000000}"/>
    <hyperlink ref="P27" r:id="rId24" display="http://www.bav-astro.de/sfs/BAVM_link.php?BAVMnr=231" xr:uid="{00000000-0004-0000-0300-000017000000}"/>
    <hyperlink ref="P28" r:id="rId25" display="http://www.konkoly.hu/cgi-bin/IBVS?6044" xr:uid="{00000000-0004-0000-0300-000018000000}"/>
    <hyperlink ref="P29" r:id="rId26" display="http://www.konkoly.hu/cgi-bin/IBVS?6044" xr:uid="{00000000-0004-0000-0300-000019000000}"/>
    <hyperlink ref="P30" r:id="rId27" display="http://www.konkoly.hu/cgi-bin/IBVS?6114" xr:uid="{00000000-0004-0000-0300-00001A000000}"/>
    <hyperlink ref="P31" r:id="rId28" display="http://www.konkoly.hu/cgi-bin/IBVS?6114" xr:uid="{00000000-0004-0000-0300-00001B000000}"/>
    <hyperlink ref="P32" r:id="rId29" display="http://www.konkoly.hu/cgi-bin/IBVS?6125" xr:uid="{00000000-0004-0000-03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1665163227</vt:i4>
  </property>
  <property fmtid="{D5CDD505-2E9C-101B-9397-08002B2CF9AE}" pid="3" name="_EmailSubject">
    <vt:lpwstr>V776 Cas / HIP 8821 - ToM and recommended ephemeris</vt:lpwstr>
  </property>
  <property fmtid="{D5CDD505-2E9C-101B-9397-08002B2CF9AE}" pid="4" name="_AuthorEmail">
    <vt:lpwstr>tkrajci@san.osd.mil</vt:lpwstr>
  </property>
  <property fmtid="{D5CDD505-2E9C-101B-9397-08002B2CF9AE}" pid="5" name="_AuthorEmailDisplayName">
    <vt:lpwstr>Tom Krajci</vt:lpwstr>
  </property>
  <property fmtid="{D5CDD505-2E9C-101B-9397-08002B2CF9AE}" pid="6" name="_ReviewingToolsShownOnce">
    <vt:lpwstr/>
  </property>
</Properties>
</file>