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33852C-52E1-44C2-BD98-5CE4B2034D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Q36" i="1" l="1"/>
  <c r="C7" i="1"/>
  <c r="E36" i="1"/>
  <c r="F36" i="1"/>
  <c r="C8" i="1"/>
  <c r="E35" i="1"/>
  <c r="F35" i="1"/>
  <c r="G35" i="1"/>
  <c r="K35" i="1"/>
  <c r="D9" i="1"/>
  <c r="C9" i="1"/>
  <c r="E23" i="1"/>
  <c r="F23" i="1"/>
  <c r="G23" i="1"/>
  <c r="K23" i="1"/>
  <c r="E29" i="1"/>
  <c r="F29" i="1"/>
  <c r="E30" i="1"/>
  <c r="F30" i="1"/>
  <c r="E31" i="1"/>
  <c r="F31" i="1"/>
  <c r="G31" i="1"/>
  <c r="K31" i="1"/>
  <c r="Q34" i="1"/>
  <c r="Q35" i="1"/>
  <c r="Q22" i="1"/>
  <c r="G17" i="3"/>
  <c r="C17" i="3"/>
  <c r="G16" i="3"/>
  <c r="C16" i="3"/>
  <c r="E16" i="3"/>
  <c r="G15" i="3"/>
  <c r="C15" i="3"/>
  <c r="E15" i="3"/>
  <c r="G14" i="3"/>
  <c r="C14" i="3"/>
  <c r="E14" i="3"/>
  <c r="G13" i="3"/>
  <c r="C13" i="3"/>
  <c r="G12" i="3"/>
  <c r="C12" i="3"/>
  <c r="G21" i="3"/>
  <c r="C21" i="3"/>
  <c r="E21" i="3"/>
  <c r="G11" i="3"/>
  <c r="C11" i="3"/>
  <c r="G20" i="3"/>
  <c r="C20" i="3"/>
  <c r="E20" i="3"/>
  <c r="G19" i="3"/>
  <c r="C19" i="3"/>
  <c r="E19" i="3"/>
  <c r="G18" i="3"/>
  <c r="C18" i="3"/>
  <c r="H17" i="3"/>
  <c r="B17" i="3"/>
  <c r="D17" i="3"/>
  <c r="H16" i="3"/>
  <c r="D16" i="3"/>
  <c r="B16" i="3"/>
  <c r="H15" i="3"/>
  <c r="D15" i="3"/>
  <c r="B15" i="3"/>
  <c r="H14" i="3"/>
  <c r="B14" i="3"/>
  <c r="D14" i="3"/>
  <c r="H13" i="3"/>
  <c r="D13" i="3"/>
  <c r="B13" i="3"/>
  <c r="H12" i="3"/>
  <c r="D12" i="3"/>
  <c r="B12" i="3"/>
  <c r="H21" i="3"/>
  <c r="B21" i="3"/>
  <c r="D21" i="3"/>
  <c r="H11" i="3"/>
  <c r="B11" i="3"/>
  <c r="D11" i="3"/>
  <c r="H20" i="3"/>
  <c r="D20" i="3"/>
  <c r="B20" i="3"/>
  <c r="H19" i="3"/>
  <c r="D19" i="3"/>
  <c r="B19" i="3"/>
  <c r="H18" i="3"/>
  <c r="D18" i="3"/>
  <c r="B18" i="3"/>
  <c r="Q33" i="1"/>
  <c r="Q32" i="1"/>
  <c r="Q25" i="1"/>
  <c r="E24" i="2"/>
  <c r="F24" i="2"/>
  <c r="G24" i="2"/>
  <c r="H24" i="2"/>
  <c r="E32" i="2"/>
  <c r="F32" i="2"/>
  <c r="G32" i="2"/>
  <c r="H32" i="2"/>
  <c r="E31" i="2"/>
  <c r="F31" i="2"/>
  <c r="G31" i="2"/>
  <c r="I31" i="2"/>
  <c r="E21" i="2"/>
  <c r="F21" i="2"/>
  <c r="G21" i="2"/>
  <c r="H21" i="2"/>
  <c r="E22" i="2"/>
  <c r="F22" i="2"/>
  <c r="G22" i="2"/>
  <c r="E23" i="2"/>
  <c r="F23" i="2"/>
  <c r="G23" i="2"/>
  <c r="I23" i="2"/>
  <c r="E25" i="2"/>
  <c r="F25" i="2"/>
  <c r="G25" i="2"/>
  <c r="I25" i="2"/>
  <c r="E26" i="2"/>
  <c r="F26" i="2"/>
  <c r="G26" i="2"/>
  <c r="J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F11" i="2"/>
  <c r="Q31" i="2"/>
  <c r="Q32" i="2"/>
  <c r="Q24" i="2"/>
  <c r="G11" i="2"/>
  <c r="E14" i="2"/>
  <c r="E15" i="2" s="1"/>
  <c r="C17" i="2"/>
  <c r="Q21" i="2"/>
  <c r="I22" i="2"/>
  <c r="Q22" i="2"/>
  <c r="Q23" i="2"/>
  <c r="Q25" i="2"/>
  <c r="Q26" i="2"/>
  <c r="Q27" i="2"/>
  <c r="Q28" i="2"/>
  <c r="Q29" i="2"/>
  <c r="Q30" i="2"/>
  <c r="Q31" i="1"/>
  <c r="Q29" i="1"/>
  <c r="Q30" i="1"/>
  <c r="Q26" i="1"/>
  <c r="F16" i="1"/>
  <c r="F17" i="1" s="1"/>
  <c r="Q28" i="1"/>
  <c r="C17" i="1"/>
  <c r="Q21" i="1"/>
  <c r="Q23" i="1"/>
  <c r="Q24" i="1"/>
  <c r="Q27" i="1"/>
  <c r="E18" i="3"/>
  <c r="G21" i="1"/>
  <c r="K21" i="1"/>
  <c r="G28" i="1"/>
  <c r="K28" i="1"/>
  <c r="E26" i="1"/>
  <c r="F26" i="1"/>
  <c r="E21" i="1"/>
  <c r="F21" i="1"/>
  <c r="G30" i="1"/>
  <c r="K30" i="1"/>
  <c r="E28" i="1"/>
  <c r="F28" i="1"/>
  <c r="E33" i="1"/>
  <c r="F33" i="1"/>
  <c r="G33" i="1"/>
  <c r="J33" i="1"/>
  <c r="G27" i="1"/>
  <c r="K27" i="1"/>
  <c r="E25" i="1"/>
  <c r="F25" i="1"/>
  <c r="G25" i="1"/>
  <c r="J25" i="1"/>
  <c r="E22" i="1"/>
  <c r="F22" i="1"/>
  <c r="G22" i="1"/>
  <c r="G29" i="1"/>
  <c r="K29" i="1"/>
  <c r="E27" i="1"/>
  <c r="F27" i="1"/>
  <c r="E34" i="1"/>
  <c r="F34" i="1"/>
  <c r="G34" i="1"/>
  <c r="K34" i="1"/>
  <c r="G36" i="1"/>
  <c r="K36" i="1"/>
  <c r="E32" i="1"/>
  <c r="F32" i="1"/>
  <c r="G32" i="1"/>
  <c r="K32" i="1"/>
  <c r="G26" i="1"/>
  <c r="K26" i="1"/>
  <c r="E24" i="1"/>
  <c r="F24" i="1"/>
  <c r="G24" i="1"/>
  <c r="K24" i="1"/>
  <c r="K22" i="1"/>
  <c r="E11" i="3"/>
  <c r="E13" i="3"/>
  <c r="E12" i="3"/>
  <c r="E17" i="3"/>
  <c r="C12" i="1"/>
  <c r="C11" i="1"/>
  <c r="C12" i="2"/>
  <c r="C11" i="2"/>
  <c r="O21" i="2" l="1"/>
  <c r="R21" i="2" s="1"/>
  <c r="O24" i="2"/>
  <c r="R24" i="2" s="1"/>
  <c r="O22" i="2"/>
  <c r="R22" i="2" s="1"/>
  <c r="O29" i="2"/>
  <c r="R29" i="2" s="1"/>
  <c r="C15" i="2"/>
  <c r="O31" i="2"/>
  <c r="R31" i="2" s="1"/>
  <c r="O30" i="2"/>
  <c r="R30" i="2" s="1"/>
  <c r="O27" i="2"/>
  <c r="R27" i="2" s="1"/>
  <c r="O26" i="2"/>
  <c r="R26" i="2" s="1"/>
  <c r="O28" i="2"/>
  <c r="R28" i="2" s="1"/>
  <c r="O23" i="2"/>
  <c r="R23" i="2" s="1"/>
  <c r="O32" i="2"/>
  <c r="R32" i="2" s="1"/>
  <c r="O25" i="2"/>
  <c r="R25" i="2" s="1"/>
  <c r="C16" i="2"/>
  <c r="D18" i="2" s="1"/>
  <c r="O23" i="1"/>
  <c r="O33" i="1"/>
  <c r="O24" i="1"/>
  <c r="O31" i="1"/>
  <c r="O36" i="1"/>
  <c r="O30" i="1"/>
  <c r="O32" i="1"/>
  <c r="O22" i="1"/>
  <c r="C15" i="1"/>
  <c r="O35" i="1"/>
  <c r="O27" i="1"/>
  <c r="O34" i="1"/>
  <c r="O29" i="1"/>
  <c r="O26" i="1"/>
  <c r="O25" i="1"/>
  <c r="O28" i="1"/>
  <c r="O21" i="1"/>
  <c r="C16" i="1"/>
  <c r="D18" i="1" s="1"/>
  <c r="E16" i="2" l="1"/>
  <c r="E17" i="2" s="1"/>
  <c r="C18" i="2"/>
  <c r="C18" i="1"/>
  <c r="F18" i="1"/>
  <c r="F19" i="1" s="1"/>
  <c r="R18" i="2"/>
</calcChain>
</file>

<file path=xl/sharedStrings.xml><?xml version="1.0" encoding="utf-8"?>
<sst xmlns="http://schemas.openxmlformats.org/spreadsheetml/2006/main" count="257" uniqueCount="134">
  <si>
    <t>0.0006</t>
  </si>
  <si>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</si>
  <si>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</si>
  <si>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</si>
  <si>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</si>
  <si>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</si>
  <si>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</si>
  <si>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</si>
  <si>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</si>
  <si>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</si>
  <si>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</si>
  <si>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</si>
  <si>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</si>
  <si>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</si>
  <si>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</si>
  <si>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</si>
  <si>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</si>
  <si>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</si>
  <si>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</si>
  <si>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</si>
  <si>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</si>
  <si>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</si>
  <si>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</si>
  <si>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</si>
  <si>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</si>
  <si>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</si>
  <si>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</si>
  <si>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</si>
  <si>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</si>
  <si>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</si>
  <si>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</si>
  <si>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</si>
  <si>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</si>
  <si>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</si>
  <si>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</si>
  <si>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</si>
  <si>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</si>
  <si>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</si>
  <si>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</si>
  <si>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</si>
  <si>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</si>
  <si>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 xml:space="preserve">V959 Cas / GSC 3656-1495 </t>
  </si>
  <si>
    <t>I</t>
  </si>
  <si>
    <t>OEJV 0107</t>
  </si>
  <si>
    <t>OEJV</t>
  </si>
  <si>
    <t>Nelson</t>
  </si>
  <si>
    <t>IBVS 5966</t>
  </si>
  <si>
    <t>IBVS 5960</t>
  </si>
  <si>
    <t>BAD?</t>
  </si>
  <si>
    <t>Add cycle</t>
  </si>
  <si>
    <t>Old Cycle</t>
  </si>
  <si>
    <t>OEJV 0137</t>
  </si>
  <si>
    <t>IBVS 6042</t>
  </si>
  <si>
    <t>II</t>
  </si>
  <si>
    <t>OEJV 0160</t>
  </si>
  <si>
    <t>OEJV 0094</t>
  </si>
  <si>
    <t>IBVS 5984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</si>
  <si>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</si>
  <si>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</si>
  <si>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</si>
  <si>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</si>
  <si>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</si>
  <si>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</si>
  <si>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</si>
  <si>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</si>
  <si>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</si>
  <si>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</si>
  <si>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</si>
  <si>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</si>
  <si>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</si>
  <si>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2453997.1597 </t>
  </si>
  <si>
    <t> 18.09.2006 15:49 </t>
  </si>
  <si>
    <t> -0.0958 </t>
  </si>
  <si>
    <t>C </t>
  </si>
  <si>
    <t> K.Nakajima </t>
  </si>
  <si>
    <t>VSB 45 </t>
  </si>
  <si>
    <t>2454432.2757 </t>
  </si>
  <si>
    <t> 27.11.2007 18:37 </t>
  </si>
  <si>
    <t> -0.1140 </t>
  </si>
  <si>
    <t>R</t>
  </si>
  <si>
    <t> S.Poddaný </t>
  </si>
  <si>
    <t>OEJV 0094 </t>
  </si>
  <si>
    <t>2454841.2959 </t>
  </si>
  <si>
    <t> 09.01.2009 19:06 </t>
  </si>
  <si>
    <t> -0.1306 </t>
  </si>
  <si>
    <t> R.Ehrenberger </t>
  </si>
  <si>
    <t>OEJV 0107 </t>
  </si>
  <si>
    <t>2455473.4649 </t>
  </si>
  <si>
    <t> 03.10.2010 23:09 </t>
  </si>
  <si>
    <t> -0.1578 </t>
  </si>
  <si>
    <t>-I</t>
  </si>
  <si>
    <t> F.Agerer </t>
  </si>
  <si>
    <t>BAVM 215 </t>
  </si>
  <si>
    <t>2455480.3846 </t>
  </si>
  <si>
    <t> 10.10.2010 21:13 </t>
  </si>
  <si>
    <t>3891</t>
  </si>
  <si>
    <t> -0.1619 </t>
  </si>
  <si>
    <t> M.Lehky </t>
  </si>
  <si>
    <t>OEJV 0137 </t>
  </si>
  <si>
    <t>2455486.7753 </t>
  </si>
  <si>
    <t> 17.10.2010 06:36 </t>
  </si>
  <si>
    <t>3897</t>
  </si>
  <si>
    <t> -0.1624 </t>
  </si>
  <si>
    <t> R.Nelson </t>
  </si>
  <si>
    <t>IBVS 5966 </t>
  </si>
  <si>
    <t>2455517.6659 </t>
  </si>
  <si>
    <t> 17.11.2010 03:58 </t>
  </si>
  <si>
    <t>3926</t>
  </si>
  <si>
    <t> -0.1626 </t>
  </si>
  <si>
    <t> R.Diethelm </t>
  </si>
  <si>
    <t>IBVS 5960 </t>
  </si>
  <si>
    <t>2456222.27054 </t>
  </si>
  <si>
    <t> 21.10.2012 18:29 </t>
  </si>
  <si>
    <t>4587.5</t>
  </si>
  <si>
    <t> -0.18776 </t>
  </si>
  <si>
    <t> K.Ho?kova </t>
  </si>
  <si>
    <t>OEJV 0160 </t>
  </si>
  <si>
    <t>2456245.7027 </t>
  </si>
  <si>
    <t> 14.11.2012 04:51 </t>
  </si>
  <si>
    <t>4609.5</t>
  </si>
  <si>
    <t> -0.1900 </t>
  </si>
  <si>
    <t>IBVS 6042 </t>
  </si>
  <si>
    <t>2456246.23206 </t>
  </si>
  <si>
    <t> 14.11.2012 17:34 </t>
  </si>
  <si>
    <t>4610</t>
  </si>
  <si>
    <t> -0.19324 </t>
  </si>
  <si>
    <t>2456950.2942 </t>
  </si>
  <si>
    <t> 19.10.2014 19:03 </t>
  </si>
  <si>
    <t>5271</t>
  </si>
  <si>
    <t> -0.2283 </t>
  </si>
  <si>
    <t>BAVM 239 </t>
  </si>
  <si>
    <t>OEJV 0179</t>
  </si>
  <si>
    <t>OEJV 0211</t>
  </si>
  <si>
    <t xml:space="preserve">V0959 Cas / GSC 3656-1495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</si>
</sst>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31" fillId="0" borderId="0"/>
    <xf numFmtId="0" fontId="31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8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24" borderId="0" xfId="0" applyFont="1" applyFill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8" xfId="0" applyFont="1" applyFill="1" applyBorder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9" fillId="25" borderId="0" xfId="0" applyFont="1" applyFill="1" applyAlignment="1"/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26" borderId="0" xfId="0" applyFont="1" applyFill="1" applyAlignment="1"/>
    <xf numFmtId="0" fontId="21" fillId="27" borderId="0" xfId="0" applyFont="1" applyFill="1" applyAlignment="1"/>
    <xf numFmtId="0" fontId="22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8" borderId="17" xfId="0" applyFont="1" applyFill="1" applyBorder="1" applyAlignment="1">
      <alignment horizontal="left" vertical="top" wrapText="1" indent="1"/>
    </xf>
    <xf numFmtId="0" fontId="5" fillId="28" borderId="17" xfId="0" applyFont="1" applyFill="1" applyBorder="1" applyAlignment="1">
      <alignment horizontal="center" vertical="top" wrapText="1"/>
    </xf>
    <xf numFmtId="0" fontId="5" fillId="28" borderId="17" xfId="0" applyFont="1" applyFill="1" applyBorder="1" applyAlignment="1">
      <alignment horizontal="right" vertical="top" wrapText="1"/>
    </xf>
    <xf numFmtId="0" fontId="23" fillId="28" borderId="17" xfId="38" applyFill="1" applyBorder="1" applyAlignment="1" applyProtection="1">
      <alignment horizontal="righ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18" fillId="0" borderId="0" xfId="0" applyFont="1" applyAlignment="1"/>
    <xf numFmtId="0" fontId="25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0" applyFont="1" applyAlignment="1"/>
    <xf numFmtId="0" fontId="41" fillId="0" borderId="0" xfId="42" applyFont="1"/>
    <xf numFmtId="0" fontId="41" fillId="0" borderId="0" xfId="42" applyFont="1" applyAlignment="1">
      <alignment horizontal="center"/>
    </xf>
    <xf numFmtId="0" fontId="41" fillId="0" borderId="0" xfId="42" applyFont="1" applyAlignment="1">
      <alignment horizontal="left"/>
    </xf>
    <xf numFmtId="0" fontId="6" fillId="0" borderId="0" xfId="0" applyFont="1" applyFill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V0959 Cas - O-C Diagr.</a:t>
            </a:r>
          </a:p>
        </c:rich>
      </c:tx>
      <c:layout>
        <c:manualLayout>
          <c:xMode val="edge"/>
          <c:yMode val="edge"/>
          <c:x val="0.374436090225563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5584415584415584"/>
          <c:w val="0.84661654135338349"/>
          <c:h val="0.6071428571428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8B-4092-AAC1-2AFCAF84BD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8B-4092-AAC1-2AFCAF84BD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4">
                  <c:v>-3.3598999998575891</c:v>
                </c:pt>
                <c:pt idx="12">
                  <c:v>-5.2830999998623156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8B-4092-AAC1-2AFCAF84BD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">
                  <c:v>-1.9775999998601037</c:v>
                </c:pt>
                <c:pt idx="2">
                  <c:v>-1.9141299998518662</c:v>
                </c:pt>
                <c:pt idx="3">
                  <c:v>-2.3864399998565204</c:v>
                </c:pt>
                <c:pt idx="5">
                  <c:v>-3.3626599998606252</c:v>
                </c:pt>
                <c:pt idx="6">
                  <c:v>-3.3619999998554704</c:v>
                </c:pt>
                <c:pt idx="7">
                  <c:v>-3.3563999998586951</c:v>
                </c:pt>
                <c:pt idx="8">
                  <c:v>-4.3142599998609512</c:v>
                </c:pt>
                <c:pt idx="9">
                  <c:v>-4.3120999998573097</c:v>
                </c:pt>
                <c:pt idx="10">
                  <c:v>-4.3152399998507462</c:v>
                </c:pt>
                <c:pt idx="11">
                  <c:v>-4.8068099998563412</c:v>
                </c:pt>
                <c:pt idx="13">
                  <c:v>-5.2324999998527346</c:v>
                </c:pt>
                <c:pt idx="14">
                  <c:v>-5.2742199998538126</c:v>
                </c:pt>
                <c:pt idx="15">
                  <c:v>-5.1726799999014474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8B-4092-AAC1-2AFCAF84BD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8B-4092-AAC1-2AFCAF84BD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8B-4092-AAC1-2AFCAF84BD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3.2000000000000002E-3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8B-4092-AAC1-2AFCAF84BD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-0.63499964798439912</c:v>
                </c:pt>
                <c:pt idx="1">
                  <c:v>-1.7620090541765383</c:v>
                </c:pt>
                <c:pt idx="2">
                  <c:v>-2.2339550740940051</c:v>
                </c:pt>
                <c:pt idx="3">
                  <c:v>-2.6781735432696867</c:v>
                </c:pt>
                <c:pt idx="4">
                  <c:v>-3.3650080814359877</c:v>
                </c:pt>
                <c:pt idx="5">
                  <c:v>-3.3725176264285546</c:v>
                </c:pt>
                <c:pt idx="6">
                  <c:v>-3.3794495141140009</c:v>
                </c:pt>
                <c:pt idx="7">
                  <c:v>-3.4129536379269911</c:v>
                </c:pt>
                <c:pt idx="8">
                  <c:v>-4.178349569861683</c:v>
                </c:pt>
                <c:pt idx="9">
                  <c:v>-4.2037664913749868</c:v>
                </c:pt>
                <c:pt idx="10">
                  <c:v>-4.2043441486821074</c:v>
                </c:pt>
                <c:pt idx="11">
                  <c:v>-4.5260992687482382</c:v>
                </c:pt>
                <c:pt idx="12">
                  <c:v>-4.9691624233096787</c:v>
                </c:pt>
                <c:pt idx="13">
                  <c:v>-5.3457949875522592</c:v>
                </c:pt>
                <c:pt idx="14">
                  <c:v>-4.9778272829164862</c:v>
                </c:pt>
                <c:pt idx="15">
                  <c:v>-5.8206292940053279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8B-4092-AAC1-2AFCAF84BD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975.5</c:v>
                </c:pt>
                <c:pt idx="2">
                  <c:v>1384</c:v>
                </c:pt>
                <c:pt idx="3">
                  <c:v>1768.5</c:v>
                </c:pt>
                <c:pt idx="4">
                  <c:v>2363</c:v>
                </c:pt>
                <c:pt idx="5">
                  <c:v>2369.5</c:v>
                </c:pt>
                <c:pt idx="6">
                  <c:v>2375.5</c:v>
                </c:pt>
                <c:pt idx="7">
                  <c:v>2404.5</c:v>
                </c:pt>
                <c:pt idx="8">
                  <c:v>3067</c:v>
                </c:pt>
                <c:pt idx="9">
                  <c:v>3089</c:v>
                </c:pt>
                <c:pt idx="10">
                  <c:v>3089.5</c:v>
                </c:pt>
                <c:pt idx="11">
                  <c:v>3368</c:v>
                </c:pt>
                <c:pt idx="12">
                  <c:v>3751.5</c:v>
                </c:pt>
                <c:pt idx="13">
                  <c:v>4077.5</c:v>
                </c:pt>
                <c:pt idx="14">
                  <c:v>3759</c:v>
                </c:pt>
                <c:pt idx="15">
                  <c:v>4488.5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8B-4092-AAC1-2AFCAF84B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583016"/>
        <c:axId val="1"/>
      </c:scatterChart>
      <c:valAx>
        <c:axId val="76358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311688311688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038961038961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83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1558441558441561"/>
          <c:w val="0.72330827067669168"/>
          <c:h val="6.49350649350649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V959 Cas - O-C Diagr.</a:t>
            </a:r>
          </a:p>
        </c:rich>
      </c:tx>
      <c:layout>
        <c:manualLayout>
          <c:xMode val="edge"/>
          <c:yMode val="edge"/>
          <c:x val="0.3744360902255639"/>
          <c:y val="3.583061889250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5635204020771867"/>
          <c:w val="0.8210526315789473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-8.0306718300562352E-2</c:v>
                </c:pt>
                <c:pt idx="3">
                  <c:v>-4.9434894353908021E-2</c:v>
                </c:pt>
                <c:pt idx="6">
                  <c:v>1.3615266754641198E-2</c:v>
                </c:pt>
                <c:pt idx="7">
                  <c:v>6.4054289468913339E-3</c:v>
                </c:pt>
                <c:pt idx="8">
                  <c:v>4.013418905378785E-2</c:v>
                </c:pt>
                <c:pt idx="9">
                  <c:v>3.7711660872446373E-2</c:v>
                </c:pt>
                <c:pt idx="11">
                  <c:v>1.9784351243288256E-2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C3-4908-808F-18CBA5FB689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-8.4747189393965527E-3</c:v>
                </c:pt>
                <c:pt idx="2">
                  <c:v>7.0951111039903481E-2</c:v>
                </c:pt>
                <c:pt idx="4">
                  <c:v>-4.2867760690569412E-2</c:v>
                </c:pt>
                <c:pt idx="10">
                  <c:v>-5.4226535095949657E-2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3-4908-808F-18CBA5FB689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5">
                  <c:v>-3.3598098838410806E-2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C3-4908-808F-18CBA5FB689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C3-4908-808F-18CBA5FB689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C3-4908-808F-18CBA5FB689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C3-4908-808F-18CBA5FB689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7.3000000000000001E-3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C3-4908-808F-18CBA5FB689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-4.8107273178934436E-2</c:v>
                </c:pt>
                <c:pt idx="1">
                  <c:v>-2.4413814866233959E-2</c:v>
                </c:pt>
                <c:pt idx="2">
                  <c:v>-1.7831347582105826E-2</c:v>
                </c:pt>
                <c:pt idx="3">
                  <c:v>-7.6537746291430869E-3</c:v>
                </c:pt>
                <c:pt idx="4">
                  <c:v>-7.5424975489172541E-3</c:v>
                </c:pt>
                <c:pt idx="5">
                  <c:v>-7.4397802440934087E-3</c:v>
                </c:pt>
                <c:pt idx="6">
                  <c:v>-6.9433132707781529E-3</c:v>
                </c:pt>
                <c:pt idx="7">
                  <c:v>4.3983891368548408E-3</c:v>
                </c:pt>
                <c:pt idx="8">
                  <c:v>4.7750192545422763E-3</c:v>
                </c:pt>
                <c:pt idx="9">
                  <c:v>4.7835790299442637E-3</c:v>
                </c:pt>
                <c:pt idx="10">
                  <c:v>9.5513739288511142E-3</c:v>
                </c:pt>
                <c:pt idx="11">
                  <c:v>1.611672166217527E-2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C3-4908-808F-18CBA5FB6894}"/>
            </c:ext>
          </c:extLst>
        </c:ser>
        <c:ser>
          <c:idx val="8"/>
          <c:order val="8"/>
          <c:tx>
            <c:strRef>
              <c:f>'A (2)'!$S$20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-3751</c:v>
                </c:pt>
                <c:pt idx="1">
                  <c:v>-2367</c:v>
                </c:pt>
                <c:pt idx="2">
                  <c:v>-1982.5</c:v>
                </c:pt>
                <c:pt idx="3">
                  <c:v>-1388</c:v>
                </c:pt>
                <c:pt idx="4">
                  <c:v>-1381.5</c:v>
                </c:pt>
                <c:pt idx="5">
                  <c:v>-1375.5</c:v>
                </c:pt>
                <c:pt idx="6">
                  <c:v>-1346.5</c:v>
                </c:pt>
                <c:pt idx="7">
                  <c:v>-684</c:v>
                </c:pt>
                <c:pt idx="8">
                  <c:v>-662</c:v>
                </c:pt>
                <c:pt idx="9">
                  <c:v>-661.5</c:v>
                </c:pt>
                <c:pt idx="10">
                  <c:v>-383</c:v>
                </c:pt>
                <c:pt idx="11">
                  <c:v>0.5</c:v>
                </c:pt>
              </c:numCache>
            </c:numRef>
          </c:xVal>
          <c:yVal>
            <c:numRef>
              <c:f>'A (2)'!$S$21:$S$999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C3-4908-808F-18CBA5FB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372952"/>
        <c:axId val="1"/>
      </c:scatterChart>
      <c:valAx>
        <c:axId val="58437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3062026041533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156420186890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37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74436090225564"/>
          <c:y val="0.91531081416125915"/>
          <c:w val="0.95789473684210524"/>
          <c:h val="0.98045739396581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17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A9B2E1-3A9D-EF4E-F9F4-8878C53B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</xdr:row>
      <xdr:rowOff>66675</xdr:rowOff>
    </xdr:from>
    <xdr:to>
      <xdr:col>17</xdr:col>
      <xdr:colOff>371475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11926D6-6AE8-BE3B-85CA-3EE520AE0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solj.cetus-net.org/no45.pdf" TargetMode="External"/><Relationship Id="rId6" Type="http://schemas.openxmlformats.org/officeDocument/2006/relationships/hyperlink" Target="http://www.konkoly.hu/cgi-bin/IBVS?5966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5" TargetMode="External"/><Relationship Id="rId9" Type="http://schemas.openxmlformats.org/officeDocument/2006/relationships/hyperlink" Target="http://www.konkoly.hu/cgi-bin/IBVS?604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7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6" ht="20.25">
      <c r="A1" s="28" t="s">
        <v>133</v>
      </c>
    </row>
    <row r="2" spans="1:6">
      <c r="A2" t="s">
        <v>24</v>
      </c>
      <c r="B2" t="s">
        <v>38</v>
      </c>
      <c r="C2" s="2"/>
      <c r="D2" s="2"/>
    </row>
    <row r="3" spans="1:6" ht="13.5" thickBot="1"/>
    <row r="4" spans="1:6" ht="14.25" thickTop="1" thickBot="1">
      <c r="A4" s="29" t="s">
        <v>39</v>
      </c>
      <c r="C4" s="7">
        <v>52960.229799999855</v>
      </c>
      <c r="D4" s="8">
        <v>1.0649999999999999</v>
      </c>
    </row>
    <row r="5" spans="1:6" ht="13.5" thickTop="1">
      <c r="A5" s="10" t="s">
        <v>31</v>
      </c>
      <c r="B5" s="11"/>
      <c r="C5" s="12">
        <v>-9.5</v>
      </c>
      <c r="D5" s="11" t="s">
        <v>32</v>
      </c>
      <c r="E5" s="11"/>
    </row>
    <row r="6" spans="1:6">
      <c r="A6" s="4" t="s">
        <v>2</v>
      </c>
    </row>
    <row r="7" spans="1:6">
      <c r="A7" t="s">
        <v>3</v>
      </c>
      <c r="C7">
        <f>+C4</f>
        <v>52960.229799999855</v>
      </c>
    </row>
    <row r="8" spans="1:6">
      <c r="A8" t="s">
        <v>4</v>
      </c>
      <c r="C8">
        <f>+D4</f>
        <v>1.0649999999999999</v>
      </c>
    </row>
    <row r="9" spans="1:6">
      <c r="A9" s="26" t="s">
        <v>37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1"/>
      <c r="B10" s="11"/>
      <c r="C10" s="3" t="s">
        <v>20</v>
      </c>
      <c r="D10" s="3" t="s">
        <v>21</v>
      </c>
      <c r="E10" s="11"/>
    </row>
    <row r="11" spans="1:6">
      <c r="A11" s="11" t="s">
        <v>16</v>
      </c>
      <c r="B11" s="11"/>
      <c r="C11" s="23">
        <f ca="1">INTERCEPT(INDIRECT($D$9):G989,INDIRECT($C$9):F989)</f>
        <v>-0.63499964798439912</v>
      </c>
      <c r="D11" s="2"/>
      <c r="E11" s="11"/>
    </row>
    <row r="12" spans="1:6">
      <c r="A12" s="11" t="s">
        <v>17</v>
      </c>
      <c r="B12" s="11"/>
      <c r="C12" s="23">
        <f ca="1">SLOPE(INDIRECT($D$9):G989,INDIRECT($C$9):F989)</f>
        <v>-1.1553146142410447E-3</v>
      </c>
      <c r="D12" s="2"/>
      <c r="E12" s="11"/>
    </row>
    <row r="13" spans="1:6">
      <c r="A13" s="11" t="s">
        <v>19</v>
      </c>
      <c r="B13" s="11"/>
      <c r="C13" s="2" t="s">
        <v>14</v>
      </c>
    </row>
    <row r="14" spans="1:6">
      <c r="A14" s="11"/>
      <c r="B14" s="11"/>
      <c r="C14" s="11"/>
    </row>
    <row r="15" spans="1:6">
      <c r="A15" s="13" t="s">
        <v>18</v>
      </c>
      <c r="B15" s="11"/>
      <c r="C15" s="14">
        <f ca="1">(C7+C11)+(C8+C12)*INT(MAX(F21:F3530))</f>
        <v>57734.129748363157</v>
      </c>
      <c r="E15" s="15" t="s">
        <v>49</v>
      </c>
      <c r="F15" s="12">
        <v>1</v>
      </c>
    </row>
    <row r="16" spans="1:6">
      <c r="A16" s="17" t="s">
        <v>5</v>
      </c>
      <c r="B16" s="11"/>
      <c r="C16" s="18">
        <f ca="1">+C8+C12</f>
        <v>1.0638446853857588</v>
      </c>
      <c r="E16" s="15" t="s">
        <v>33</v>
      </c>
      <c r="F16" s="16">
        <f ca="1">NOW()+15018.5+$C$5/24</f>
        <v>60329.735675462958</v>
      </c>
    </row>
    <row r="17" spans="1:21" ht="13.5" thickBot="1">
      <c r="A17" s="15" t="s">
        <v>30</v>
      </c>
      <c r="B17" s="11"/>
      <c r="C17" s="11">
        <f>COUNT(C21:C2188)</f>
        <v>16</v>
      </c>
      <c r="E17" s="15" t="s">
        <v>50</v>
      </c>
      <c r="F17" s="16">
        <f ca="1">ROUND(2*(F16-$C$7)/$C$8,0)/2+F15</f>
        <v>6920.5</v>
      </c>
    </row>
    <row r="18" spans="1:21" ht="14.25" thickTop="1" thickBot="1">
      <c r="A18" s="17" t="s">
        <v>6</v>
      </c>
      <c r="B18" s="11"/>
      <c r="C18" s="20">
        <f ca="1">+C15</f>
        <v>57734.129748363157</v>
      </c>
      <c r="D18" s="21">
        <f ca="1">+C16</f>
        <v>1.0638446853857588</v>
      </c>
      <c r="E18" s="15" t="s">
        <v>34</v>
      </c>
      <c r="F18" s="25">
        <f ca="1">ROUND(2*(F16-$C$15)/$C$16,0)/2+F15</f>
        <v>2441</v>
      </c>
    </row>
    <row r="19" spans="1:21" ht="13.5" thickTop="1">
      <c r="E19" s="15" t="s">
        <v>35</v>
      </c>
      <c r="F19" s="19">
        <f ca="1">+$C$15+$C$16*F18-15018.5-$C$5/24</f>
        <v>45312.870458723133</v>
      </c>
    </row>
    <row r="20" spans="1:21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66</v>
      </c>
      <c r="I20" s="6" t="s">
        <v>69</v>
      </c>
      <c r="J20" s="6" t="s">
        <v>63</v>
      </c>
      <c r="K20" s="6" t="s">
        <v>61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  <c r="U20" s="38" t="s">
        <v>48</v>
      </c>
    </row>
    <row r="21" spans="1:21">
      <c r="A21" s="30" t="s">
        <v>40</v>
      </c>
      <c r="C21" s="9">
        <v>52960.229799999855</v>
      </c>
      <c r="D21" s="9" t="s">
        <v>14</v>
      </c>
      <c r="E21">
        <f t="shared" ref="E21:E33" si="0">+(C21-C$7)/C$8</f>
        <v>0</v>
      </c>
      <c r="F21">
        <f>ROUND(2*E21,0)/2</f>
        <v>0</v>
      </c>
      <c r="G21">
        <f t="shared" ref="G21:G33" si="1">+C21-(C$7+F21*C$8)</f>
        <v>0</v>
      </c>
      <c r="K21">
        <f>+G21</f>
        <v>0</v>
      </c>
      <c r="O21">
        <f t="shared" ref="O21:O33" ca="1" si="2">+C$11+C$12*$F21</f>
        <v>-0.63499964798439912</v>
      </c>
      <c r="Q21" s="1">
        <f t="shared" ref="Q21:Q33" si="3">+C21-15018.5</f>
        <v>37941.729799999855</v>
      </c>
    </row>
    <row r="22" spans="1:21">
      <c r="A22" s="63" t="s">
        <v>75</v>
      </c>
      <c r="B22" s="64" t="s">
        <v>53</v>
      </c>
      <c r="C22" s="63">
        <v>53997.159699999997</v>
      </c>
      <c r="D22" s="63" t="s">
        <v>69</v>
      </c>
      <c r="E22">
        <f t="shared" si="0"/>
        <v>973.64309859168179</v>
      </c>
      <c r="F22">
        <f>ROUND(2*E22,0)/2+2</f>
        <v>975.5</v>
      </c>
      <c r="G22">
        <f t="shared" si="1"/>
        <v>-1.9775999998601037</v>
      </c>
      <c r="K22">
        <f>+G22</f>
        <v>-1.9775999998601037</v>
      </c>
      <c r="O22">
        <f t="shared" ca="1" si="2"/>
        <v>-1.7620090541765383</v>
      </c>
      <c r="Q22" s="1">
        <f t="shared" si="3"/>
        <v>38978.659699999997</v>
      </c>
    </row>
    <row r="23" spans="1:21">
      <c r="A23" s="35" t="s">
        <v>55</v>
      </c>
      <c r="B23" s="36" t="s">
        <v>42</v>
      </c>
      <c r="C23" s="37">
        <v>54432.275670000003</v>
      </c>
      <c r="D23" s="37">
        <v>1E-4</v>
      </c>
      <c r="E23">
        <f t="shared" si="0"/>
        <v>1382.2026948358191</v>
      </c>
      <c r="F23">
        <f>ROUND(2*E23,0)/2+2</f>
        <v>1384</v>
      </c>
      <c r="G23">
        <f t="shared" si="1"/>
        <v>-1.9141299998518662</v>
      </c>
      <c r="K23">
        <f>+G23</f>
        <v>-1.9141299998518662</v>
      </c>
      <c r="O23">
        <f t="shared" ca="1" si="2"/>
        <v>-2.2339550740940051</v>
      </c>
      <c r="Q23" s="1">
        <f t="shared" si="3"/>
        <v>39413.775670000003</v>
      </c>
    </row>
    <row r="24" spans="1:21">
      <c r="A24" s="35" t="s">
        <v>43</v>
      </c>
      <c r="B24" s="36" t="s">
        <v>42</v>
      </c>
      <c r="C24" s="37">
        <v>54841.295859999998</v>
      </c>
      <c r="D24" s="37">
        <v>5.9999999999999995E-4</v>
      </c>
      <c r="E24">
        <f t="shared" si="0"/>
        <v>1766.2592112677398</v>
      </c>
      <c r="F24">
        <f>ROUND(2*E24,0)/2+2</f>
        <v>1768.5</v>
      </c>
      <c r="G24">
        <f t="shared" si="1"/>
        <v>-2.3864399998565204</v>
      </c>
      <c r="K24">
        <f>+G24</f>
        <v>-2.3864399998565204</v>
      </c>
      <c r="O24">
        <f t="shared" ca="1" si="2"/>
        <v>-2.6781735432696867</v>
      </c>
      <c r="Q24" s="1">
        <f t="shared" si="3"/>
        <v>39822.795859999998</v>
      </c>
    </row>
    <row r="25" spans="1:21">
      <c r="A25" s="39" t="s">
        <v>56</v>
      </c>
      <c r="B25" s="39"/>
      <c r="C25" s="41">
        <v>55473.464899999999</v>
      </c>
      <c r="D25" s="41">
        <v>7.3000000000000001E-3</v>
      </c>
      <c r="E25">
        <f t="shared" si="0"/>
        <v>2359.8451643193839</v>
      </c>
      <c r="F25" s="34">
        <f>ROUND(2*E25,0)/2+3</f>
        <v>2363</v>
      </c>
      <c r="G25">
        <f t="shared" si="1"/>
        <v>-3.3598999998575891</v>
      </c>
      <c r="J25">
        <f>+G25</f>
        <v>-3.3598999998575891</v>
      </c>
      <c r="O25">
        <f t="shared" ca="1" si="2"/>
        <v>-3.3650080814359877</v>
      </c>
      <c r="Q25" s="1">
        <f t="shared" si="3"/>
        <v>40454.964899999999</v>
      </c>
    </row>
    <row r="26" spans="1:21">
      <c r="A26" s="39" t="s">
        <v>51</v>
      </c>
      <c r="B26" s="40" t="s">
        <v>42</v>
      </c>
      <c r="C26" s="41">
        <v>55480.384639999997</v>
      </c>
      <c r="D26" s="41">
        <v>2.9999999999999997E-4</v>
      </c>
      <c r="E26">
        <f t="shared" si="0"/>
        <v>2366.3425727700856</v>
      </c>
      <c r="F26" s="34">
        <f>ROUND(2*E26,0)/2+3</f>
        <v>2369.5</v>
      </c>
      <c r="G26">
        <f t="shared" si="1"/>
        <v>-3.3626599998606252</v>
      </c>
      <c r="K26">
        <f t="shared" ref="K26:K32" si="4">+G26</f>
        <v>-3.3626599998606252</v>
      </c>
      <c r="O26">
        <f t="shared" ca="1" si="2"/>
        <v>-3.3725176264285546</v>
      </c>
      <c r="Q26" s="1">
        <f t="shared" si="3"/>
        <v>40461.884639999997</v>
      </c>
    </row>
    <row r="27" spans="1:21">
      <c r="A27" s="65" t="s">
        <v>46</v>
      </c>
      <c r="B27" s="66"/>
      <c r="C27" s="41">
        <v>55486.775300000001</v>
      </c>
      <c r="D27" s="41">
        <v>2.0000000000000001E-4</v>
      </c>
      <c r="E27">
        <f t="shared" si="0"/>
        <v>2372.3431924883998</v>
      </c>
      <c r="F27" s="34">
        <f>ROUND(2*E27,0)/2+3</f>
        <v>2375.5</v>
      </c>
      <c r="G27">
        <f t="shared" si="1"/>
        <v>-3.3619999998554704</v>
      </c>
      <c r="K27">
        <f t="shared" si="4"/>
        <v>-3.3619999998554704</v>
      </c>
      <c r="O27">
        <f t="shared" ca="1" si="2"/>
        <v>-3.3794495141140009</v>
      </c>
      <c r="Q27" s="1">
        <f t="shared" si="3"/>
        <v>40468.275300000001</v>
      </c>
    </row>
    <row r="28" spans="1:21">
      <c r="A28" s="39" t="s">
        <v>47</v>
      </c>
      <c r="B28" s="40" t="s">
        <v>42</v>
      </c>
      <c r="C28" s="41">
        <v>55517.6659</v>
      </c>
      <c r="D28" s="41">
        <v>5.0000000000000001E-4</v>
      </c>
      <c r="E28">
        <f t="shared" si="0"/>
        <v>2401.3484507043613</v>
      </c>
      <c r="F28" s="34">
        <f>ROUND(2*E28,0)/2+3</f>
        <v>2404.5</v>
      </c>
      <c r="G28">
        <f t="shared" si="1"/>
        <v>-3.3563999998586951</v>
      </c>
      <c r="K28">
        <f t="shared" si="4"/>
        <v>-3.3563999998586951</v>
      </c>
      <c r="O28">
        <f t="shared" ca="1" si="2"/>
        <v>-3.4129536379269911</v>
      </c>
      <c r="Q28" s="1">
        <f t="shared" si="3"/>
        <v>40499.1659</v>
      </c>
    </row>
    <row r="29" spans="1:21">
      <c r="A29" s="39" t="s">
        <v>54</v>
      </c>
      <c r="B29" s="40" t="s">
        <v>53</v>
      </c>
      <c r="C29" s="41">
        <v>56222.270539999998</v>
      </c>
      <c r="D29" s="41">
        <v>5.9999999999999995E-4</v>
      </c>
      <c r="E29">
        <f t="shared" si="0"/>
        <v>3062.9490516433261</v>
      </c>
      <c r="F29" s="42">
        <f>ROUND(2*E29,0)/2+4</f>
        <v>3067</v>
      </c>
      <c r="G29">
        <f t="shared" si="1"/>
        <v>-4.3142599998609512</v>
      </c>
      <c r="K29">
        <f t="shared" si="4"/>
        <v>-4.3142599998609512</v>
      </c>
      <c r="O29">
        <f t="shared" ca="1" si="2"/>
        <v>-4.178349569861683</v>
      </c>
      <c r="Q29" s="1">
        <f t="shared" si="3"/>
        <v>41203.770539999998</v>
      </c>
    </row>
    <row r="30" spans="1:21">
      <c r="A30" s="39" t="s">
        <v>52</v>
      </c>
      <c r="B30" s="40" t="s">
        <v>53</v>
      </c>
      <c r="C30" s="41">
        <v>56245.702700000002</v>
      </c>
      <c r="D30" s="41">
        <v>4.0000000000000002E-4</v>
      </c>
      <c r="E30">
        <f t="shared" si="0"/>
        <v>3084.9510798123438</v>
      </c>
      <c r="F30" s="42">
        <f>ROUND(2*E30,0)/2+4</f>
        <v>3089</v>
      </c>
      <c r="G30">
        <f t="shared" si="1"/>
        <v>-4.3120999998573097</v>
      </c>
      <c r="K30">
        <f t="shared" si="4"/>
        <v>-4.3120999998573097</v>
      </c>
      <c r="O30">
        <f t="shared" ca="1" si="2"/>
        <v>-4.2037664913749868</v>
      </c>
      <c r="Q30" s="1">
        <f t="shared" si="3"/>
        <v>41227.202700000002</v>
      </c>
    </row>
    <row r="31" spans="1:21">
      <c r="A31" s="39" t="s">
        <v>54</v>
      </c>
      <c r="B31" s="40" t="s">
        <v>42</v>
      </c>
      <c r="C31" s="41">
        <v>56246.232060000002</v>
      </c>
      <c r="D31" s="41">
        <v>4.0000000000000002E-4</v>
      </c>
      <c r="E31">
        <f t="shared" si="0"/>
        <v>3085.4481314555369</v>
      </c>
      <c r="F31" s="42">
        <f>ROUND(2*E31,0)/2+4</f>
        <v>3089.5</v>
      </c>
      <c r="G31">
        <f t="shared" si="1"/>
        <v>-4.3152399998507462</v>
      </c>
      <c r="K31">
        <f t="shared" si="4"/>
        <v>-4.3152399998507462</v>
      </c>
      <c r="O31">
        <f t="shared" ca="1" si="2"/>
        <v>-4.2043441486821074</v>
      </c>
      <c r="Q31" s="1">
        <f t="shared" si="3"/>
        <v>41227.732060000002</v>
      </c>
    </row>
    <row r="32" spans="1:21">
      <c r="A32" s="41" t="s">
        <v>58</v>
      </c>
      <c r="B32" s="40" t="s">
        <v>42</v>
      </c>
      <c r="C32" s="67">
        <v>56542.342989999997</v>
      </c>
      <c r="D32" s="41">
        <v>2.9999999999999997E-4</v>
      </c>
      <c r="E32">
        <f t="shared" si="0"/>
        <v>3363.4865633804152</v>
      </c>
      <c r="F32" s="48">
        <f>ROUND(2*E32,0)/2+4.5</f>
        <v>3368</v>
      </c>
      <c r="G32">
        <f t="shared" si="1"/>
        <v>-4.8068099998563412</v>
      </c>
      <c r="K32">
        <f t="shared" si="4"/>
        <v>-4.8068099998563412</v>
      </c>
      <c r="O32">
        <f t="shared" ca="1" si="2"/>
        <v>-4.5260992687482382</v>
      </c>
      <c r="Q32" s="1">
        <f t="shared" si="3"/>
        <v>41523.842989999997</v>
      </c>
    </row>
    <row r="33" spans="1:17">
      <c r="A33" s="68" t="s">
        <v>57</v>
      </c>
      <c r="B33" s="40"/>
      <c r="C33" s="68">
        <v>56950.294199999997</v>
      </c>
      <c r="D33" s="68">
        <v>3.2000000000000002E-3</v>
      </c>
      <c r="E33">
        <f t="shared" si="0"/>
        <v>3746.5393427231375</v>
      </c>
      <c r="F33" s="49">
        <f>ROUND(2*E33,0)/2+2+3</f>
        <v>3751.5</v>
      </c>
      <c r="G33">
        <f t="shared" si="1"/>
        <v>-5.2830999998623156</v>
      </c>
      <c r="J33">
        <f>+G33</f>
        <v>-5.2830999998623156</v>
      </c>
      <c r="O33">
        <f t="shared" ca="1" si="2"/>
        <v>-4.9691624233096787</v>
      </c>
      <c r="Q33" s="1">
        <f t="shared" si="3"/>
        <v>41931.794199999997</v>
      </c>
    </row>
    <row r="34" spans="1:17">
      <c r="A34" s="69" t="s">
        <v>1</v>
      </c>
      <c r="B34" s="70" t="s">
        <v>42</v>
      </c>
      <c r="C34" s="71">
        <v>57297.534800000001</v>
      </c>
      <c r="D34" s="71" t="s">
        <v>0</v>
      </c>
      <c r="E34">
        <f>+(C34-C$7)/C$8</f>
        <v>4072.5868544602308</v>
      </c>
      <c r="F34" s="49">
        <f>ROUND(2*E34,0)/2+2+3</f>
        <v>4077.5</v>
      </c>
      <c r="G34">
        <f>+C34-(C$7+F34*C$8)</f>
        <v>-5.2324999998527346</v>
      </c>
      <c r="K34">
        <f>+G34</f>
        <v>-5.2324999998527346</v>
      </c>
      <c r="O34">
        <f ca="1">+C$11+C$12*$F34</f>
        <v>-5.3457949875522592</v>
      </c>
      <c r="Q34" s="1">
        <f>+C34-15018.5</f>
        <v>42279.034800000001</v>
      </c>
    </row>
    <row r="35" spans="1:17">
      <c r="A35" s="72" t="s">
        <v>131</v>
      </c>
      <c r="B35" s="73" t="s">
        <v>53</v>
      </c>
      <c r="C35" s="74">
        <v>56958.290580000001</v>
      </c>
      <c r="D35" s="74">
        <v>1.5E-3</v>
      </c>
      <c r="E35">
        <f>+(C35-C$7)/C$8</f>
        <v>3754.0476807513105</v>
      </c>
      <c r="F35" s="79">
        <f>ROUND(2*E35,0)/2+2+3</f>
        <v>3759</v>
      </c>
      <c r="G35">
        <f>+C35-(C$7+F35*C$8)</f>
        <v>-5.2742199998538126</v>
      </c>
      <c r="K35">
        <f>+G35</f>
        <v>-5.2742199998538126</v>
      </c>
      <c r="O35">
        <f ca="1">+C$11+C$12*$F35</f>
        <v>-4.9778272829164862</v>
      </c>
      <c r="Q35" s="1">
        <f>+C35-15018.5</f>
        <v>41939.790580000001</v>
      </c>
    </row>
    <row r="36" spans="1:17">
      <c r="A36" s="76" t="s">
        <v>132</v>
      </c>
      <c r="B36" s="77" t="s">
        <v>42</v>
      </c>
      <c r="C36" s="78">
        <v>57735.309619999956</v>
      </c>
      <c r="D36" s="78">
        <v>4.0000000000000002E-4</v>
      </c>
      <c r="E36">
        <f>+(C36-C$7)/C$8</f>
        <v>4483.6430234742729</v>
      </c>
      <c r="F36" s="79">
        <f>ROUND(2*E36,0)/2+2+3</f>
        <v>4488.5</v>
      </c>
      <c r="G36">
        <f>+C36-(C$7+F36*C$8)</f>
        <v>-5.1726799999014474</v>
      </c>
      <c r="K36">
        <f>+G36</f>
        <v>-5.1726799999014474</v>
      </c>
      <c r="O36">
        <f ca="1">+C$11+C$12*$F36</f>
        <v>-5.8206292940053279</v>
      </c>
      <c r="Q36" s="1">
        <f>+C36-15018.5</f>
        <v>42716.809619999956</v>
      </c>
    </row>
    <row r="37" spans="1:17">
      <c r="A37" s="75"/>
      <c r="B37" s="36"/>
      <c r="C37" s="37"/>
      <c r="D37" s="37"/>
    </row>
    <row r="38" spans="1:17">
      <c r="A38" s="66"/>
      <c r="B38" s="40"/>
      <c r="C38" s="41"/>
      <c r="D38" s="41"/>
    </row>
    <row r="39" spans="1:17">
      <c r="B39" s="2"/>
      <c r="C39" s="9"/>
      <c r="D39" s="9"/>
    </row>
    <row r="40" spans="1:17">
      <c r="B40" s="2"/>
      <c r="C40" s="9"/>
      <c r="D40" s="9"/>
    </row>
    <row r="41" spans="1:17">
      <c r="C41" s="9"/>
      <c r="D41" s="9"/>
    </row>
    <row r="42" spans="1:17">
      <c r="C42" s="9"/>
      <c r="D42" s="9"/>
    </row>
    <row r="43" spans="1:17">
      <c r="C43" s="9"/>
      <c r="D43" s="9"/>
    </row>
    <row r="44" spans="1:17">
      <c r="C44" s="9"/>
      <c r="D44" s="9"/>
    </row>
    <row r="45" spans="1:17">
      <c r="C45" s="9"/>
      <c r="D45" s="9"/>
    </row>
    <row r="46" spans="1:17">
      <c r="C46" s="9"/>
      <c r="D46" s="9"/>
    </row>
    <row r="47" spans="1:17">
      <c r="C47" s="9"/>
      <c r="D47" s="9"/>
    </row>
    <row r="48" spans="1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</sheetData>
  <protectedRanges>
    <protectedRange sqref="A36:D36" name="Range1"/>
  </protectedRanges>
  <phoneticPr fontId="8" type="noConversion"/>
  <hyperlinks>
    <hyperlink ref="H2170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4"/>
  <sheetViews>
    <sheetView workbookViewId="0">
      <selection activeCell="A18" sqref="A18:D21"/>
    </sheetView>
  </sheetViews>
  <sheetFormatPr defaultRowHeight="12.75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50" t="s">
        <v>59</v>
      </c>
      <c r="I1" s="51" t="s">
        <v>60</v>
      </c>
      <c r="J1" s="52" t="s">
        <v>61</v>
      </c>
    </row>
    <row r="2" spans="1:16">
      <c r="I2" s="53" t="s">
        <v>62</v>
      </c>
      <c r="J2" s="54" t="s">
        <v>63</v>
      </c>
    </row>
    <row r="3" spans="1:16">
      <c r="A3" s="55" t="s">
        <v>64</v>
      </c>
      <c r="I3" s="53" t="s">
        <v>65</v>
      </c>
      <c r="J3" s="54" t="s">
        <v>66</v>
      </c>
    </row>
    <row r="4" spans="1:16">
      <c r="I4" s="53" t="s">
        <v>67</v>
      </c>
      <c r="J4" s="54" t="s">
        <v>66</v>
      </c>
    </row>
    <row r="5" spans="1:16" ht="13.5" thickBot="1">
      <c r="I5" s="56" t="s">
        <v>68</v>
      </c>
      <c r="J5" s="57" t="s">
        <v>69</v>
      </c>
    </row>
    <row r="10" spans="1:16" ht="13.5" thickBot="1"/>
    <row r="11" spans="1:16" ht="12.75" customHeight="1" thickBot="1">
      <c r="A11" s="9" t="s">
        <v>92</v>
      </c>
      <c r="B11" s="2" t="str">
        <f t="shared" ref="B11:B21" si="0">IF(H11=INT(H11),"I","II")</f>
        <v>II</v>
      </c>
      <c r="C11" s="9">
        <f t="shared" ref="C11:C21" si="1">1*G11</f>
        <v>55473.464899999999</v>
      </c>
      <c r="D11" s="11" t="str">
        <f t="shared" ref="D11:D21" si="2">VLOOKUP(F11,I$1:J$5,2,FALSE)</f>
        <v>vis</v>
      </c>
      <c r="E11" s="58">
        <f>VLOOKUP(C11,Active!C$21:E$970,3,FALSE)</f>
        <v>2359.8451643193839</v>
      </c>
      <c r="F11" s="2" t="s">
        <v>68</v>
      </c>
      <c r="G11" s="11" t="str">
        <f t="shared" ref="G11:G21" si="3">MID(I11,3,LEN(I11)-3)</f>
        <v>55473.4649</v>
      </c>
      <c r="H11" s="9">
        <f t="shared" ref="H11:H21" si="4">1*K11</f>
        <v>3884.5</v>
      </c>
      <c r="I11" s="59" t="s">
        <v>87</v>
      </c>
      <c r="J11" s="60" t="s">
        <v>88</v>
      </c>
      <c r="K11" s="59">
        <v>3884.5</v>
      </c>
      <c r="L11" s="59" t="s">
        <v>89</v>
      </c>
      <c r="M11" s="60" t="s">
        <v>73</v>
      </c>
      <c r="N11" s="60" t="s">
        <v>90</v>
      </c>
      <c r="O11" s="61" t="s">
        <v>91</v>
      </c>
      <c r="P11" s="62" t="s">
        <v>92</v>
      </c>
    </row>
    <row r="12" spans="1:16" ht="12.75" customHeight="1" thickBot="1">
      <c r="A12" s="9" t="s">
        <v>104</v>
      </c>
      <c r="B12" s="2" t="str">
        <f t="shared" si="0"/>
        <v>I</v>
      </c>
      <c r="C12" s="9">
        <f t="shared" si="1"/>
        <v>55486.775300000001</v>
      </c>
      <c r="D12" s="11" t="str">
        <f t="shared" si="2"/>
        <v>vis</v>
      </c>
      <c r="E12" s="58">
        <f>VLOOKUP(C12,Active!C$21:E$970,3,FALSE)</f>
        <v>2372.3431924883998</v>
      </c>
      <c r="F12" s="2" t="s">
        <v>68</v>
      </c>
      <c r="G12" s="11" t="str">
        <f t="shared" si="3"/>
        <v>55486.7753</v>
      </c>
      <c r="H12" s="9">
        <f t="shared" si="4"/>
        <v>3897</v>
      </c>
      <c r="I12" s="59" t="s">
        <v>99</v>
      </c>
      <c r="J12" s="60" t="s">
        <v>100</v>
      </c>
      <c r="K12" s="59" t="s">
        <v>101</v>
      </c>
      <c r="L12" s="59" t="s">
        <v>102</v>
      </c>
      <c r="M12" s="60" t="s">
        <v>73</v>
      </c>
      <c r="N12" s="60" t="s">
        <v>60</v>
      </c>
      <c r="O12" s="61" t="s">
        <v>103</v>
      </c>
      <c r="P12" s="62" t="s">
        <v>104</v>
      </c>
    </row>
    <row r="13" spans="1:16" ht="12.75" customHeight="1" thickBot="1">
      <c r="A13" s="9" t="s">
        <v>110</v>
      </c>
      <c r="B13" s="2" t="str">
        <f t="shared" si="0"/>
        <v>I</v>
      </c>
      <c r="C13" s="9">
        <f t="shared" si="1"/>
        <v>55517.6659</v>
      </c>
      <c r="D13" s="11" t="str">
        <f t="shared" si="2"/>
        <v>vis</v>
      </c>
      <c r="E13" s="58">
        <f>VLOOKUP(C13,Active!C$21:E$970,3,FALSE)</f>
        <v>2401.3484507043613</v>
      </c>
      <c r="F13" s="2" t="s">
        <v>68</v>
      </c>
      <c r="G13" s="11" t="str">
        <f t="shared" si="3"/>
        <v>55517.6659</v>
      </c>
      <c r="H13" s="9">
        <f t="shared" si="4"/>
        <v>3926</v>
      </c>
      <c r="I13" s="59" t="s">
        <v>105</v>
      </c>
      <c r="J13" s="60" t="s">
        <v>106</v>
      </c>
      <c r="K13" s="59" t="s">
        <v>107</v>
      </c>
      <c r="L13" s="59" t="s">
        <v>108</v>
      </c>
      <c r="M13" s="60" t="s">
        <v>73</v>
      </c>
      <c r="N13" s="60" t="s">
        <v>68</v>
      </c>
      <c r="O13" s="61" t="s">
        <v>109</v>
      </c>
      <c r="P13" s="62" t="s">
        <v>110</v>
      </c>
    </row>
    <row r="14" spans="1:16" ht="12.75" customHeight="1" thickBot="1">
      <c r="A14" s="9" t="s">
        <v>116</v>
      </c>
      <c r="B14" s="2" t="str">
        <f t="shared" si="0"/>
        <v>II</v>
      </c>
      <c r="C14" s="9">
        <f t="shared" si="1"/>
        <v>56222.270539999998</v>
      </c>
      <c r="D14" s="11" t="str">
        <f t="shared" si="2"/>
        <v>vis</v>
      </c>
      <c r="E14" s="58">
        <f>VLOOKUP(C14,Active!C$21:E$970,3,FALSE)</f>
        <v>3062.9490516433261</v>
      </c>
      <c r="F14" s="2" t="s">
        <v>68</v>
      </c>
      <c r="G14" s="11" t="str">
        <f t="shared" si="3"/>
        <v>56222.27054</v>
      </c>
      <c r="H14" s="9">
        <f t="shared" si="4"/>
        <v>4587.5</v>
      </c>
      <c r="I14" s="59" t="s">
        <v>111</v>
      </c>
      <c r="J14" s="60" t="s">
        <v>112</v>
      </c>
      <c r="K14" s="59" t="s">
        <v>113</v>
      </c>
      <c r="L14" s="59" t="s">
        <v>114</v>
      </c>
      <c r="M14" s="60" t="s">
        <v>73</v>
      </c>
      <c r="N14" s="60" t="s">
        <v>60</v>
      </c>
      <c r="O14" s="61" t="s">
        <v>115</v>
      </c>
      <c r="P14" s="62" t="s">
        <v>116</v>
      </c>
    </row>
    <row r="15" spans="1:16" ht="12.75" customHeight="1" thickBot="1">
      <c r="A15" s="9" t="s">
        <v>121</v>
      </c>
      <c r="B15" s="2" t="str">
        <f t="shared" si="0"/>
        <v>II</v>
      </c>
      <c r="C15" s="9">
        <f t="shared" si="1"/>
        <v>56245.702700000002</v>
      </c>
      <c r="D15" s="11" t="str">
        <f t="shared" si="2"/>
        <v>vis</v>
      </c>
      <c r="E15" s="58">
        <f>VLOOKUP(C15,Active!C$21:E$970,3,FALSE)</f>
        <v>3084.9510798123438</v>
      </c>
      <c r="F15" s="2" t="s">
        <v>68</v>
      </c>
      <c r="G15" s="11" t="str">
        <f t="shared" si="3"/>
        <v>56245.7027</v>
      </c>
      <c r="H15" s="9">
        <f t="shared" si="4"/>
        <v>4609.5</v>
      </c>
      <c r="I15" s="59" t="s">
        <v>117</v>
      </c>
      <c r="J15" s="60" t="s">
        <v>118</v>
      </c>
      <c r="K15" s="59" t="s">
        <v>119</v>
      </c>
      <c r="L15" s="59" t="s">
        <v>120</v>
      </c>
      <c r="M15" s="60" t="s">
        <v>73</v>
      </c>
      <c r="N15" s="60" t="s">
        <v>68</v>
      </c>
      <c r="O15" s="61" t="s">
        <v>109</v>
      </c>
      <c r="P15" s="62" t="s">
        <v>121</v>
      </c>
    </row>
    <row r="16" spans="1:16" ht="12.75" customHeight="1" thickBot="1">
      <c r="A16" s="9" t="s">
        <v>116</v>
      </c>
      <c r="B16" s="2" t="str">
        <f t="shared" si="0"/>
        <v>I</v>
      </c>
      <c r="C16" s="9">
        <f t="shared" si="1"/>
        <v>56246.232060000002</v>
      </c>
      <c r="D16" s="11" t="str">
        <f t="shared" si="2"/>
        <v>vis</v>
      </c>
      <c r="E16" s="58">
        <f>VLOOKUP(C16,Active!C$21:E$970,3,FALSE)</f>
        <v>3085.4481314555369</v>
      </c>
      <c r="F16" s="2" t="s">
        <v>68</v>
      </c>
      <c r="G16" s="11" t="str">
        <f t="shared" si="3"/>
        <v>56246.23206</v>
      </c>
      <c r="H16" s="9">
        <f t="shared" si="4"/>
        <v>4610</v>
      </c>
      <c r="I16" s="59" t="s">
        <v>122</v>
      </c>
      <c r="J16" s="60" t="s">
        <v>123</v>
      </c>
      <c r="K16" s="59" t="s">
        <v>124</v>
      </c>
      <c r="L16" s="59" t="s">
        <v>125</v>
      </c>
      <c r="M16" s="60" t="s">
        <v>73</v>
      </c>
      <c r="N16" s="60" t="s">
        <v>79</v>
      </c>
      <c r="O16" s="61" t="s">
        <v>97</v>
      </c>
      <c r="P16" s="62" t="s">
        <v>116</v>
      </c>
    </row>
    <row r="17" spans="1:16" ht="12.75" customHeight="1" thickBot="1">
      <c r="A17" s="9" t="s">
        <v>130</v>
      </c>
      <c r="B17" s="2" t="str">
        <f t="shared" si="0"/>
        <v>I</v>
      </c>
      <c r="C17" s="9">
        <f t="shared" si="1"/>
        <v>56950.294199999997</v>
      </c>
      <c r="D17" s="11" t="str">
        <f t="shared" si="2"/>
        <v>vis</v>
      </c>
      <c r="E17" s="58">
        <f>VLOOKUP(C17,Active!C$21:E$970,3,FALSE)</f>
        <v>3746.5393427231375</v>
      </c>
      <c r="F17" s="2" t="s">
        <v>68</v>
      </c>
      <c r="G17" s="11" t="str">
        <f t="shared" si="3"/>
        <v>56950.2942</v>
      </c>
      <c r="H17" s="9">
        <f t="shared" si="4"/>
        <v>5271</v>
      </c>
      <c r="I17" s="59" t="s">
        <v>126</v>
      </c>
      <c r="J17" s="60" t="s">
        <v>127</v>
      </c>
      <c r="K17" s="59" t="s">
        <v>128</v>
      </c>
      <c r="L17" s="59" t="s">
        <v>129</v>
      </c>
      <c r="M17" s="60" t="s">
        <v>73</v>
      </c>
      <c r="N17" s="60" t="s">
        <v>90</v>
      </c>
      <c r="O17" s="61" t="s">
        <v>91</v>
      </c>
      <c r="P17" s="62" t="s">
        <v>130</v>
      </c>
    </row>
    <row r="18" spans="1:16" ht="12.75" customHeight="1" thickBot="1">
      <c r="A18" s="9" t="s">
        <v>75</v>
      </c>
      <c r="B18" s="2" t="str">
        <f t="shared" si="0"/>
        <v>II</v>
      </c>
      <c r="C18" s="9">
        <f t="shared" si="1"/>
        <v>53997.159699999997</v>
      </c>
      <c r="D18" s="11" t="str">
        <f t="shared" si="2"/>
        <v>vis</v>
      </c>
      <c r="E18" s="58">
        <f>VLOOKUP(C18,Active!C$21:E$970,3,FALSE)</f>
        <v>973.64309859168179</v>
      </c>
      <c r="F18" s="2" t="s">
        <v>68</v>
      </c>
      <c r="G18" s="11" t="str">
        <f t="shared" si="3"/>
        <v>53997.1597</v>
      </c>
      <c r="H18" s="9">
        <f t="shared" si="4"/>
        <v>2498.5</v>
      </c>
      <c r="I18" s="59" t="s">
        <v>70</v>
      </c>
      <c r="J18" s="60" t="s">
        <v>71</v>
      </c>
      <c r="K18" s="59">
        <v>2498.5</v>
      </c>
      <c r="L18" s="59" t="s">
        <v>72</v>
      </c>
      <c r="M18" s="60" t="s">
        <v>73</v>
      </c>
      <c r="N18" s="60" t="s">
        <v>68</v>
      </c>
      <c r="O18" s="61" t="s">
        <v>74</v>
      </c>
      <c r="P18" s="62" t="s">
        <v>75</v>
      </c>
    </row>
    <row r="19" spans="1:16" ht="12.75" customHeight="1" thickBot="1">
      <c r="A19" s="9" t="s">
        <v>81</v>
      </c>
      <c r="B19" s="2" t="str">
        <f t="shared" si="0"/>
        <v>I</v>
      </c>
      <c r="C19" s="9">
        <f t="shared" si="1"/>
        <v>54432.275699999998</v>
      </c>
      <c r="D19" s="11" t="str">
        <f t="shared" si="2"/>
        <v>vis</v>
      </c>
      <c r="E19" s="58" t="e">
        <f>VLOOKUP(C19,Active!C$21:E$970,3,FALSE)</f>
        <v>#N/A</v>
      </c>
      <c r="F19" s="2" t="s">
        <v>68</v>
      </c>
      <c r="G19" s="11" t="str">
        <f t="shared" si="3"/>
        <v>54432.2757</v>
      </c>
      <c r="H19" s="9">
        <f t="shared" si="4"/>
        <v>2907</v>
      </c>
      <c r="I19" s="59" t="s">
        <v>76</v>
      </c>
      <c r="J19" s="60" t="s">
        <v>77</v>
      </c>
      <c r="K19" s="59">
        <v>2907</v>
      </c>
      <c r="L19" s="59" t="s">
        <v>78</v>
      </c>
      <c r="M19" s="60" t="s">
        <v>73</v>
      </c>
      <c r="N19" s="60" t="s">
        <v>79</v>
      </c>
      <c r="O19" s="61" t="s">
        <v>80</v>
      </c>
      <c r="P19" s="62" t="s">
        <v>81</v>
      </c>
    </row>
    <row r="20" spans="1:16" ht="12.75" customHeight="1" thickBot="1">
      <c r="A20" s="9" t="s">
        <v>43</v>
      </c>
      <c r="B20" s="2" t="str">
        <f t="shared" si="0"/>
        <v>I</v>
      </c>
      <c r="C20" s="9">
        <f t="shared" si="1"/>
        <v>54841.295899999997</v>
      </c>
      <c r="D20" s="11" t="str">
        <f t="shared" si="2"/>
        <v>vis</v>
      </c>
      <c r="E20" s="58" t="e">
        <f>VLOOKUP(C20,Active!C$21:E$970,3,FALSE)</f>
        <v>#N/A</v>
      </c>
      <c r="F20" s="2" t="s">
        <v>68</v>
      </c>
      <c r="G20" s="11" t="str">
        <f t="shared" si="3"/>
        <v>54841.2959</v>
      </c>
      <c r="H20" s="9">
        <f t="shared" si="4"/>
        <v>3291</v>
      </c>
      <c r="I20" s="59" t="s">
        <v>82</v>
      </c>
      <c r="J20" s="60" t="s">
        <v>83</v>
      </c>
      <c r="K20" s="59">
        <v>3291</v>
      </c>
      <c r="L20" s="59" t="s">
        <v>84</v>
      </c>
      <c r="M20" s="60" t="s">
        <v>73</v>
      </c>
      <c r="N20" s="60" t="s">
        <v>79</v>
      </c>
      <c r="O20" s="61" t="s">
        <v>85</v>
      </c>
      <c r="P20" s="62" t="s">
        <v>86</v>
      </c>
    </row>
    <row r="21" spans="1:16" ht="12.75" customHeight="1" thickBot="1">
      <c r="A21" s="9" t="s">
        <v>51</v>
      </c>
      <c r="B21" s="2" t="str">
        <f t="shared" si="0"/>
        <v>I</v>
      </c>
      <c r="C21" s="9">
        <f t="shared" si="1"/>
        <v>55480.384599999998</v>
      </c>
      <c r="D21" s="11" t="str">
        <f t="shared" si="2"/>
        <v>vis</v>
      </c>
      <c r="E21" s="58" t="e">
        <f>VLOOKUP(C21,Active!C$21:E$970,3,FALSE)</f>
        <v>#N/A</v>
      </c>
      <c r="F21" s="2" t="s">
        <v>68</v>
      </c>
      <c r="G21" s="11" t="str">
        <f t="shared" si="3"/>
        <v>55480.3846</v>
      </c>
      <c r="H21" s="9">
        <f t="shared" si="4"/>
        <v>3891</v>
      </c>
      <c r="I21" s="59" t="s">
        <v>93</v>
      </c>
      <c r="J21" s="60" t="s">
        <v>94</v>
      </c>
      <c r="K21" s="59" t="s">
        <v>95</v>
      </c>
      <c r="L21" s="59" t="s">
        <v>96</v>
      </c>
      <c r="M21" s="60" t="s">
        <v>73</v>
      </c>
      <c r="N21" s="60" t="s">
        <v>68</v>
      </c>
      <c r="O21" s="61" t="s">
        <v>97</v>
      </c>
      <c r="P21" s="62" t="s">
        <v>98</v>
      </c>
    </row>
    <row r="22" spans="1:16">
      <c r="B22" s="2"/>
      <c r="E22" s="58"/>
      <c r="F22" s="2"/>
    </row>
    <row r="23" spans="1:16">
      <c r="B23" s="2"/>
      <c r="E23" s="58"/>
      <c r="F23" s="2"/>
    </row>
    <row r="24" spans="1:16">
      <c r="B24" s="2"/>
      <c r="E24" s="58"/>
      <c r="F24" s="2"/>
    </row>
    <row r="25" spans="1:16">
      <c r="B25" s="2"/>
      <c r="E25" s="58"/>
      <c r="F25" s="2"/>
    </row>
    <row r="26" spans="1:16">
      <c r="B26" s="2"/>
      <c r="E26" s="58"/>
      <c r="F26" s="2"/>
    </row>
    <row r="27" spans="1:16">
      <c r="B27" s="2"/>
      <c r="E27" s="58"/>
      <c r="F27" s="2"/>
    </row>
    <row r="28" spans="1:16">
      <c r="B28" s="2"/>
      <c r="E28" s="58"/>
      <c r="F28" s="2"/>
    </row>
    <row r="29" spans="1:16">
      <c r="B29" s="2"/>
      <c r="E29" s="58"/>
      <c r="F29" s="2"/>
    </row>
    <row r="30" spans="1:16">
      <c r="B30" s="2"/>
      <c r="E30" s="58"/>
      <c r="F30" s="2"/>
    </row>
    <row r="31" spans="1:16">
      <c r="B31" s="2"/>
      <c r="E31" s="58"/>
      <c r="F31" s="2"/>
    </row>
    <row r="32" spans="1:16">
      <c r="B32" s="2"/>
      <c r="E32" s="58"/>
      <c r="F32" s="2"/>
    </row>
    <row r="33" spans="2:6">
      <c r="B33" s="2"/>
      <c r="E33" s="58"/>
      <c r="F33" s="2"/>
    </row>
    <row r="34" spans="2:6">
      <c r="B34" s="2"/>
      <c r="E34" s="58"/>
      <c r="F34" s="2"/>
    </row>
    <row r="35" spans="2:6">
      <c r="B35" s="2"/>
      <c r="E35" s="58"/>
      <c r="F35" s="2"/>
    </row>
    <row r="36" spans="2:6">
      <c r="B36" s="2"/>
      <c r="E36" s="58"/>
      <c r="F36" s="2"/>
    </row>
    <row r="37" spans="2:6">
      <c r="B37" s="2"/>
      <c r="E37" s="58"/>
      <c r="F37" s="2"/>
    </row>
    <row r="38" spans="2:6">
      <c r="B38" s="2"/>
      <c r="E38" s="58"/>
      <c r="F38" s="2"/>
    </row>
    <row r="39" spans="2:6">
      <c r="B39" s="2"/>
      <c r="E39" s="58"/>
      <c r="F39" s="2"/>
    </row>
    <row r="40" spans="2:6">
      <c r="B40" s="2"/>
      <c r="E40" s="58"/>
      <c r="F40" s="2"/>
    </row>
    <row r="41" spans="2:6">
      <c r="B41" s="2"/>
      <c r="E41" s="58"/>
      <c r="F41" s="2"/>
    </row>
    <row r="42" spans="2:6">
      <c r="B42" s="2"/>
      <c r="E42" s="58"/>
      <c r="F42" s="2"/>
    </row>
    <row r="43" spans="2:6">
      <c r="B43" s="2"/>
      <c r="E43" s="58"/>
      <c r="F43" s="2"/>
    </row>
    <row r="44" spans="2:6">
      <c r="B44" s="2"/>
      <c r="E44" s="58"/>
      <c r="F44" s="2"/>
    </row>
    <row r="45" spans="2:6">
      <c r="B45" s="2"/>
      <c r="E45" s="58"/>
      <c r="F45" s="2"/>
    </row>
    <row r="46" spans="2:6">
      <c r="B46" s="2"/>
      <c r="E46" s="58"/>
      <c r="F46" s="2"/>
    </row>
    <row r="47" spans="2:6">
      <c r="B47" s="2"/>
      <c r="E47" s="58"/>
      <c r="F47" s="2"/>
    </row>
    <row r="48" spans="2:6">
      <c r="B48" s="2"/>
      <c r="E48" s="58"/>
      <c r="F48" s="2"/>
    </row>
    <row r="49" spans="2:6">
      <c r="B49" s="2"/>
      <c r="E49" s="58"/>
      <c r="F49" s="2"/>
    </row>
    <row r="50" spans="2:6">
      <c r="B50" s="2"/>
      <c r="E50" s="58"/>
      <c r="F50" s="2"/>
    </row>
    <row r="51" spans="2:6">
      <c r="B51" s="2"/>
      <c r="E51" s="58"/>
      <c r="F51" s="2"/>
    </row>
    <row r="52" spans="2:6">
      <c r="B52" s="2"/>
      <c r="E52" s="58"/>
      <c r="F52" s="2"/>
    </row>
    <row r="53" spans="2:6">
      <c r="B53" s="2"/>
      <c r="E53" s="58"/>
      <c r="F53" s="2"/>
    </row>
    <row r="54" spans="2:6">
      <c r="B54" s="2"/>
      <c r="E54" s="58"/>
      <c r="F54" s="2"/>
    </row>
    <row r="55" spans="2:6">
      <c r="B55" s="2"/>
      <c r="E55" s="58"/>
      <c r="F55" s="2"/>
    </row>
    <row r="56" spans="2:6">
      <c r="B56" s="2"/>
      <c r="E56" s="58"/>
      <c r="F56" s="2"/>
    </row>
    <row r="57" spans="2:6">
      <c r="B57" s="2"/>
      <c r="E57" s="58"/>
      <c r="F57" s="2"/>
    </row>
    <row r="58" spans="2:6">
      <c r="B58" s="2"/>
      <c r="E58" s="58"/>
      <c r="F58" s="2"/>
    </row>
    <row r="59" spans="2:6">
      <c r="B59" s="2"/>
      <c r="E59" s="58"/>
      <c r="F59" s="2"/>
    </row>
    <row r="60" spans="2:6">
      <c r="B60" s="2"/>
      <c r="E60" s="58"/>
      <c r="F60" s="2"/>
    </row>
    <row r="61" spans="2:6">
      <c r="B61" s="2"/>
      <c r="E61" s="58"/>
      <c r="F61" s="2"/>
    </row>
    <row r="62" spans="2:6">
      <c r="B62" s="2"/>
      <c r="E62" s="58"/>
      <c r="F62" s="2"/>
    </row>
    <row r="63" spans="2:6">
      <c r="B63" s="2"/>
      <c r="E63" s="58"/>
      <c r="F63" s="2"/>
    </row>
    <row r="64" spans="2:6">
      <c r="B64" s="2"/>
      <c r="E64" s="58"/>
      <c r="F64" s="2"/>
    </row>
    <row r="65" spans="2:6">
      <c r="B65" s="2"/>
      <c r="E65" s="58"/>
      <c r="F65" s="2"/>
    </row>
    <row r="66" spans="2:6">
      <c r="B66" s="2"/>
      <c r="E66" s="58"/>
      <c r="F66" s="2"/>
    </row>
    <row r="67" spans="2:6">
      <c r="B67" s="2"/>
      <c r="E67" s="58"/>
      <c r="F67" s="2"/>
    </row>
    <row r="68" spans="2:6">
      <c r="B68" s="2"/>
      <c r="E68" s="58"/>
      <c r="F68" s="2"/>
    </row>
    <row r="69" spans="2:6">
      <c r="B69" s="2"/>
      <c r="E69" s="58"/>
      <c r="F69" s="2"/>
    </row>
    <row r="70" spans="2:6">
      <c r="B70" s="2"/>
      <c r="E70" s="58"/>
      <c r="F70" s="2"/>
    </row>
    <row r="71" spans="2:6">
      <c r="B71" s="2"/>
      <c r="E71" s="58"/>
      <c r="F71" s="2"/>
    </row>
    <row r="72" spans="2:6">
      <c r="B72" s="2"/>
      <c r="E72" s="58"/>
      <c r="F72" s="2"/>
    </row>
    <row r="73" spans="2:6">
      <c r="B73" s="2"/>
      <c r="E73" s="58"/>
      <c r="F73" s="2"/>
    </row>
    <row r="74" spans="2:6">
      <c r="B74" s="2"/>
      <c r="E74" s="58"/>
      <c r="F74" s="2"/>
    </row>
    <row r="75" spans="2:6">
      <c r="B75" s="2"/>
      <c r="E75" s="58"/>
      <c r="F75" s="2"/>
    </row>
    <row r="76" spans="2:6">
      <c r="B76" s="2"/>
      <c r="E76" s="58"/>
      <c r="F76" s="2"/>
    </row>
    <row r="77" spans="2:6">
      <c r="B77" s="2"/>
      <c r="E77" s="58"/>
      <c r="F77" s="2"/>
    </row>
    <row r="78" spans="2:6">
      <c r="B78" s="2"/>
      <c r="E78" s="58"/>
      <c r="F78" s="2"/>
    </row>
    <row r="79" spans="2:6">
      <c r="B79" s="2"/>
      <c r="E79" s="58"/>
      <c r="F79" s="2"/>
    </row>
    <row r="80" spans="2:6">
      <c r="B80" s="2"/>
      <c r="E80" s="58"/>
      <c r="F80" s="2"/>
    </row>
    <row r="81" spans="2:6">
      <c r="B81" s="2"/>
      <c r="E81" s="58"/>
      <c r="F81" s="2"/>
    </row>
    <row r="82" spans="2:6">
      <c r="B82" s="2"/>
      <c r="E82" s="58"/>
      <c r="F82" s="2"/>
    </row>
    <row r="83" spans="2:6">
      <c r="B83" s="2"/>
      <c r="E83" s="58"/>
      <c r="F83" s="2"/>
    </row>
    <row r="84" spans="2:6">
      <c r="B84" s="2"/>
      <c r="E84" s="58"/>
      <c r="F84" s="2"/>
    </row>
    <row r="85" spans="2:6">
      <c r="B85" s="2"/>
      <c r="E85" s="58"/>
      <c r="F85" s="2"/>
    </row>
    <row r="86" spans="2:6">
      <c r="B86" s="2"/>
      <c r="E86" s="58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</sheetData>
  <phoneticPr fontId="8" type="noConversion"/>
  <hyperlinks>
    <hyperlink ref="P18" r:id="rId1" display="http://vsolj.cetus-net.org/no45.pdf"/>
    <hyperlink ref="P19" r:id="rId2" display="http://var.astro.cz/oejv/issues/oejv0094.pdf"/>
    <hyperlink ref="P20" r:id="rId3" display="http://var.astro.cz/oejv/issues/oejv0107.pdf"/>
    <hyperlink ref="P11" r:id="rId4" display="http://www.bav-astro.de/sfs/BAVM_link.php?BAVMnr=215"/>
    <hyperlink ref="P21" r:id="rId5" display="http://var.astro.cz/oejv/issues/oejv0137.pdf"/>
    <hyperlink ref="P12" r:id="rId6" display="http://www.konkoly.hu/cgi-bin/IBVS?5966"/>
    <hyperlink ref="P13" r:id="rId7" display="http://www.konkoly.hu/cgi-bin/IBVS?5960"/>
    <hyperlink ref="P14" r:id="rId8" display="http://var.astro.cz/oejv/issues/oejv0160.pdf"/>
    <hyperlink ref="P15" r:id="rId9" display="http://www.konkoly.hu/cgi-bin/IBVS?6042"/>
    <hyperlink ref="P16" r:id="rId10" display="http://var.astro.cz/oejv/issues/oejv0160.pdf"/>
    <hyperlink ref="P17" r:id="rId11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E37" sqref="E3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28" t="s">
        <v>41</v>
      </c>
    </row>
    <row r="2" spans="1:7">
      <c r="A2" t="s">
        <v>24</v>
      </c>
      <c r="B2" t="s">
        <v>38</v>
      </c>
      <c r="C2" s="2"/>
      <c r="D2" s="2"/>
    </row>
    <row r="3" spans="1:7" ht="13.5" thickBot="1"/>
    <row r="4" spans="1:7" ht="14.25" thickTop="1" thickBot="1">
      <c r="A4" s="29" t="s">
        <v>39</v>
      </c>
      <c r="C4" s="7">
        <v>52960.229799999855</v>
      </c>
      <c r="D4" s="8">
        <v>1.0649999999999999</v>
      </c>
    </row>
    <row r="6" spans="1:7">
      <c r="A6" s="4" t="s">
        <v>2</v>
      </c>
    </row>
    <row r="7" spans="1:7">
      <c r="A7" t="s">
        <v>3</v>
      </c>
      <c r="C7">
        <v>56949.742633120572</v>
      </c>
    </row>
    <row r="8" spans="1:7">
      <c r="A8" t="s">
        <v>4</v>
      </c>
      <c r="C8">
        <v>1.0635650563589485</v>
      </c>
    </row>
    <row r="9" spans="1:7">
      <c r="A9" s="10" t="s">
        <v>31</v>
      </c>
      <c r="B9" s="11"/>
      <c r="C9" s="12">
        <v>8</v>
      </c>
      <c r="D9" s="11" t="s">
        <v>32</v>
      </c>
      <c r="E9" s="11"/>
    </row>
    <row r="10" spans="1:7" ht="13.5" thickBot="1">
      <c r="A10" s="11"/>
      <c r="B10" s="11"/>
      <c r="C10" s="3" t="s">
        <v>20</v>
      </c>
      <c r="D10" s="3" t="s">
        <v>21</v>
      </c>
      <c r="E10" s="11"/>
    </row>
    <row r="11" spans="1:7">
      <c r="A11" s="11" t="s">
        <v>16</v>
      </c>
      <c r="B11" s="11"/>
      <c r="C11" s="23">
        <f ca="1">INTERCEPT(INDIRECT($G$11):G992,INDIRECT($F$11):F992)</f>
        <v>1.6108161886773283E-2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>
      <c r="A12" s="11" t="s">
        <v>17</v>
      </c>
      <c r="B12" s="11"/>
      <c r="C12" s="23">
        <f ca="1">SLOPE(INDIRECT($G$11):G992,INDIRECT($F$11):F992)</f>
        <v>1.711955080397433E-5</v>
      </c>
      <c r="D12" s="2"/>
      <c r="E12" s="11"/>
    </row>
    <row r="13" spans="1:7">
      <c r="A13" s="11" t="s">
        <v>19</v>
      </c>
      <c r="B13" s="11"/>
      <c r="C13" s="2" t="s">
        <v>14</v>
      </c>
      <c r="D13" s="15" t="s">
        <v>49</v>
      </c>
      <c r="E13" s="12">
        <v>1</v>
      </c>
    </row>
    <row r="14" spans="1:7">
      <c r="A14" s="11"/>
      <c r="B14" s="11"/>
      <c r="C14" s="11"/>
      <c r="D14" s="15" t="s">
        <v>33</v>
      </c>
      <c r="E14" s="16">
        <f ca="1">NOW()+15018.5+$C$9/24</f>
        <v>60330.46484212963</v>
      </c>
    </row>
    <row r="15" spans="1:7">
      <c r="A15" s="13" t="s">
        <v>18</v>
      </c>
      <c r="B15" s="11"/>
      <c r="C15" s="14">
        <f ca="1">(C7+C11)+(C8+C12)*INT(MAX(F21:F3533))</f>
        <v>56949.758741282458</v>
      </c>
      <c r="D15" s="15" t="s">
        <v>50</v>
      </c>
      <c r="E15" s="16">
        <f ca="1">ROUND(2*(E14-$C$7)/$C$8,0)/2+E13</f>
        <v>3179.5</v>
      </c>
    </row>
    <row r="16" spans="1:7">
      <c r="A16" s="17" t="s">
        <v>5</v>
      </c>
      <c r="B16" s="11"/>
      <c r="C16" s="18">
        <f ca="1">+C8+C12</f>
        <v>1.0635821759097526</v>
      </c>
      <c r="D16" s="15" t="s">
        <v>34</v>
      </c>
      <c r="E16" s="25">
        <f ca="1">ROUND(2*(E14-$C$15)/$C$16,0)/2+E13</f>
        <v>3179.5</v>
      </c>
    </row>
    <row r="17" spans="1:19" ht="13.5" thickBot="1">
      <c r="A17" s="15" t="s">
        <v>30</v>
      </c>
      <c r="B17" s="11"/>
      <c r="C17" s="11">
        <f>COUNT(C21:C2191)</f>
        <v>12</v>
      </c>
      <c r="D17" s="15" t="s">
        <v>35</v>
      </c>
      <c r="E17" s="19">
        <f ca="1">+$C$15+$C$16*E16-15018.5-$C$9/24</f>
        <v>45312.584936254178</v>
      </c>
    </row>
    <row r="18" spans="1:19" ht="14.25" thickTop="1" thickBot="1">
      <c r="A18" s="17" t="s">
        <v>6</v>
      </c>
      <c r="B18" s="11"/>
      <c r="C18" s="20">
        <f ca="1">+C15</f>
        <v>56949.758741282458</v>
      </c>
      <c r="D18" s="21">
        <f ca="1">+C16</f>
        <v>1.0635821759097526</v>
      </c>
      <c r="E18" s="22" t="s">
        <v>36</v>
      </c>
      <c r="R18">
        <f ca="1">SUM(R21:R23)</f>
        <v>9.1731840040744483E-3</v>
      </c>
    </row>
    <row r="19" spans="1:19" ht="13.5" thickTop="1">
      <c r="A19" s="26" t="s">
        <v>37</v>
      </c>
      <c r="E19" s="27">
        <v>21</v>
      </c>
      <c r="F19">
        <v>2</v>
      </c>
    </row>
    <row r="20" spans="1:19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29</v>
      </c>
      <c r="I20" s="6" t="s">
        <v>44</v>
      </c>
      <c r="J20" s="6" t="s">
        <v>45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  <c r="S20" s="38" t="s">
        <v>48</v>
      </c>
    </row>
    <row r="21" spans="1:19">
      <c r="A21" s="30" t="s">
        <v>40</v>
      </c>
      <c r="C21" s="9">
        <v>52960.229799999855</v>
      </c>
      <c r="D21" s="9" t="s">
        <v>14</v>
      </c>
      <c r="E21">
        <f t="shared" ref="E21:E32" si="0">+(C21-C$7)/C$8</f>
        <v>-3751.0755071049207</v>
      </c>
      <c r="F21">
        <f t="shared" ref="F21:F32" si="1">ROUND(2*E21,0)/2</f>
        <v>-3751</v>
      </c>
      <c r="G21">
        <f t="shared" ref="G21:G32" si="2">+C21-(C$7+F21*C$8)</f>
        <v>-8.0306718300562352E-2</v>
      </c>
      <c r="H21">
        <f>+G21</f>
        <v>-8.0306718300562352E-2</v>
      </c>
      <c r="O21">
        <f t="shared" ref="O21:O32" ca="1" si="3">+C$11+C$12*$F21</f>
        <v>-4.8107273178934436E-2</v>
      </c>
      <c r="Q21" s="1">
        <f t="shared" ref="Q21:Q32" si="4">+C21-15018.5</f>
        <v>37941.729799999855</v>
      </c>
      <c r="R21">
        <f ca="1">(O21-G21)^2</f>
        <v>1.0368042661407278E-3</v>
      </c>
    </row>
    <row r="22" spans="1:19">
      <c r="A22" s="35" t="s">
        <v>55</v>
      </c>
      <c r="B22" s="36" t="s">
        <v>42</v>
      </c>
      <c r="C22" s="37">
        <v>54432.275670000003</v>
      </c>
      <c r="D22" s="37">
        <v>1E-4</v>
      </c>
      <c r="E22">
        <f t="shared" si="0"/>
        <v>-2367.0079682186688</v>
      </c>
      <c r="F22">
        <f t="shared" si="1"/>
        <v>-2367</v>
      </c>
      <c r="G22">
        <f t="shared" si="2"/>
        <v>-8.4747189393965527E-3</v>
      </c>
      <c r="I22">
        <f>+G22</f>
        <v>-8.4747189393965527E-3</v>
      </c>
      <c r="O22">
        <f t="shared" ca="1" si="3"/>
        <v>-2.4413814866233959E-2</v>
      </c>
      <c r="Q22" s="1">
        <f t="shared" si="4"/>
        <v>39413.775670000003</v>
      </c>
      <c r="R22">
        <f ca="1">(O22-G22)^2</f>
        <v>2.5405477896492477E-4</v>
      </c>
    </row>
    <row r="23" spans="1:19">
      <c r="A23" s="35" t="s">
        <v>43</v>
      </c>
      <c r="B23" s="36" t="s">
        <v>42</v>
      </c>
      <c r="C23" s="37">
        <v>54841.295859999998</v>
      </c>
      <c r="D23" s="37">
        <v>5.9999999999999995E-4</v>
      </c>
      <c r="E23">
        <f t="shared" si="0"/>
        <v>-1982.4332893548749</v>
      </c>
      <c r="F23">
        <f t="shared" si="1"/>
        <v>-1982.5</v>
      </c>
      <c r="G23">
        <f t="shared" si="2"/>
        <v>7.0951111039903481E-2</v>
      </c>
      <c r="I23">
        <f>+G23</f>
        <v>7.0951111039903481E-2</v>
      </c>
      <c r="O23">
        <f t="shared" ca="1" si="3"/>
        <v>-1.7831347582105826E-2</v>
      </c>
      <c r="Q23" s="1">
        <f t="shared" si="4"/>
        <v>39822.795859999998</v>
      </c>
      <c r="R23">
        <f ca="1">(O23-G23)^2</f>
        <v>7.8823249589687963E-3</v>
      </c>
    </row>
    <row r="24" spans="1:19">
      <c r="A24" s="43" t="s">
        <v>56</v>
      </c>
      <c r="B24" s="43"/>
      <c r="C24" s="44">
        <v>55473.464899999999</v>
      </c>
      <c r="D24" s="44">
        <v>7.3000000000000001E-3</v>
      </c>
      <c r="E24">
        <f t="shared" si="0"/>
        <v>-1388.0464803671919</v>
      </c>
      <c r="F24">
        <f t="shared" si="1"/>
        <v>-1388</v>
      </c>
      <c r="G24">
        <f t="shared" si="2"/>
        <v>-4.9434894353908021E-2</v>
      </c>
      <c r="H24">
        <f>G24</f>
        <v>-4.9434894353908021E-2</v>
      </c>
      <c r="O24">
        <f t="shared" ca="1" si="3"/>
        <v>-7.6537746291430869E-3</v>
      </c>
      <c r="Q24" s="1">
        <f t="shared" si="4"/>
        <v>40454.964899999999</v>
      </c>
      <c r="R24">
        <f ca="1">(O24-S24)^2</f>
        <v>5.8580266073714397E-5</v>
      </c>
    </row>
    <row r="25" spans="1:19">
      <c r="A25" s="39" t="s">
        <v>51</v>
      </c>
      <c r="B25" s="40" t="s">
        <v>42</v>
      </c>
      <c r="C25" s="41">
        <v>55480.384639999997</v>
      </c>
      <c r="D25" s="41">
        <v>2.9999999999999997E-4</v>
      </c>
      <c r="E25">
        <f t="shared" si="0"/>
        <v>-1381.540305725006</v>
      </c>
      <c r="F25">
        <f t="shared" si="1"/>
        <v>-1381.5</v>
      </c>
      <c r="G25">
        <f t="shared" si="2"/>
        <v>-4.2867760690569412E-2</v>
      </c>
      <c r="I25">
        <f>+G25</f>
        <v>-4.2867760690569412E-2</v>
      </c>
      <c r="O25">
        <f t="shared" ca="1" si="3"/>
        <v>-7.5424975489172541E-3</v>
      </c>
      <c r="Q25" s="1">
        <f t="shared" si="4"/>
        <v>40461.884639999997</v>
      </c>
      <c r="R25">
        <f ca="1">(O25-G25)^2</f>
        <v>1.2478742160269684E-3</v>
      </c>
    </row>
    <row r="26" spans="1:19">
      <c r="A26" s="4" t="s">
        <v>46</v>
      </c>
      <c r="C26" s="9">
        <v>55486.775300000001</v>
      </c>
      <c r="D26" s="9">
        <v>2.0000000000000001E-4</v>
      </c>
      <c r="E26">
        <f t="shared" si="0"/>
        <v>-1375.5315900740025</v>
      </c>
      <c r="F26">
        <f t="shared" si="1"/>
        <v>-1375.5</v>
      </c>
      <c r="G26">
        <f t="shared" si="2"/>
        <v>-3.3598098838410806E-2</v>
      </c>
      <c r="J26">
        <f>+G26</f>
        <v>-3.3598098838410806E-2</v>
      </c>
      <c r="O26">
        <f t="shared" ca="1" si="3"/>
        <v>-7.4397802440934087E-3</v>
      </c>
      <c r="Q26" s="1">
        <f t="shared" si="4"/>
        <v>40468.275300000001</v>
      </c>
      <c r="R26">
        <f ca="1">(O26-G26)^2</f>
        <v>6.8425763168181131E-4</v>
      </c>
    </row>
    <row r="27" spans="1:19">
      <c r="A27" s="39" t="s">
        <v>47</v>
      </c>
      <c r="B27" s="40" t="s">
        <v>42</v>
      </c>
      <c r="C27" s="41">
        <v>55517.6659</v>
      </c>
      <c r="D27" s="41">
        <v>5.0000000000000001E-4</v>
      </c>
      <c r="E27">
        <f t="shared" si="0"/>
        <v>-1346.4871984636284</v>
      </c>
      <c r="F27">
        <f t="shared" si="1"/>
        <v>-1346.5</v>
      </c>
      <c r="G27">
        <f t="shared" si="2"/>
        <v>1.3615266754641198E-2</v>
      </c>
      <c r="H27">
        <f>G27</f>
        <v>1.3615266754641198E-2</v>
      </c>
      <c r="O27">
        <f t="shared" ca="1" si="3"/>
        <v>-6.9433132707781529E-3</v>
      </c>
      <c r="Q27" s="1">
        <f t="shared" si="4"/>
        <v>40499.1659</v>
      </c>
      <c r="R27">
        <f ca="1">(O27-G27)^2</f>
        <v>4.2265521266157148E-4</v>
      </c>
    </row>
    <row r="28" spans="1:19">
      <c r="A28" s="31" t="s">
        <v>54</v>
      </c>
      <c r="B28" s="32" t="s">
        <v>53</v>
      </c>
      <c r="C28" s="33">
        <v>56222.270539999998</v>
      </c>
      <c r="D28" s="33">
        <v>5.9999999999999995E-4</v>
      </c>
      <c r="E28">
        <f t="shared" si="0"/>
        <v>-683.9939773980833</v>
      </c>
      <c r="F28">
        <f t="shared" si="1"/>
        <v>-684</v>
      </c>
      <c r="G28">
        <f t="shared" si="2"/>
        <v>6.4054289468913339E-3</v>
      </c>
      <c r="H28">
        <f>G28</f>
        <v>6.4054289468913339E-3</v>
      </c>
      <c r="O28">
        <f t="shared" ca="1" si="3"/>
        <v>4.3983891368548408E-3</v>
      </c>
      <c r="Q28" s="1">
        <f t="shared" si="4"/>
        <v>41203.770539999998</v>
      </c>
      <c r="R28">
        <f ca="1">(O28-S28)^2</f>
        <v>1.9345826999202672E-5</v>
      </c>
    </row>
    <row r="29" spans="1:19">
      <c r="A29" s="39" t="s">
        <v>52</v>
      </c>
      <c r="B29" s="40" t="s">
        <v>53</v>
      </c>
      <c r="C29" s="41">
        <v>56245.702700000002</v>
      </c>
      <c r="D29" s="41">
        <v>4.0000000000000002E-4</v>
      </c>
      <c r="E29">
        <f t="shared" si="0"/>
        <v>-661.96226447191543</v>
      </c>
      <c r="F29">
        <f t="shared" si="1"/>
        <v>-662</v>
      </c>
      <c r="G29">
        <f t="shared" si="2"/>
        <v>4.013418905378785E-2</v>
      </c>
      <c r="H29">
        <f>G29</f>
        <v>4.013418905378785E-2</v>
      </c>
      <c r="O29">
        <f t="shared" ca="1" si="3"/>
        <v>4.7750192545422763E-3</v>
      </c>
      <c r="Q29" s="1">
        <f t="shared" si="4"/>
        <v>41227.202700000002</v>
      </c>
      <c r="R29">
        <f ca="1">(O29-S29)^2</f>
        <v>2.2800808881249476E-5</v>
      </c>
    </row>
    <row r="30" spans="1:19">
      <c r="A30" s="31" t="s">
        <v>54</v>
      </c>
      <c r="B30" s="32" t="s">
        <v>42</v>
      </c>
      <c r="C30" s="33">
        <v>56246.232060000002</v>
      </c>
      <c r="D30" s="33">
        <v>4.0000000000000002E-4</v>
      </c>
      <c r="E30">
        <f t="shared" si="0"/>
        <v>-661.46454221521333</v>
      </c>
      <c r="F30">
        <f t="shared" si="1"/>
        <v>-661.5</v>
      </c>
      <c r="G30">
        <f t="shared" si="2"/>
        <v>3.7711660872446373E-2</v>
      </c>
      <c r="H30">
        <f>G30</f>
        <v>3.7711660872446373E-2</v>
      </c>
      <c r="O30">
        <f t="shared" ca="1" si="3"/>
        <v>4.7835790299442637E-3</v>
      </c>
      <c r="Q30" s="1">
        <f t="shared" si="4"/>
        <v>41227.732060000002</v>
      </c>
      <c r="R30">
        <f ca="1">(O30-S30)^2</f>
        <v>2.2882628335722501E-5</v>
      </c>
    </row>
    <row r="31" spans="1:19">
      <c r="A31" s="44" t="s">
        <v>58</v>
      </c>
      <c r="B31" s="46" t="s">
        <v>42</v>
      </c>
      <c r="C31" s="47">
        <v>56542.342989999997</v>
      </c>
      <c r="D31" s="44">
        <v>2.9999999999999997E-4</v>
      </c>
      <c r="E31">
        <f t="shared" si="0"/>
        <v>-383.05098563061347</v>
      </c>
      <c r="F31">
        <f t="shared" si="1"/>
        <v>-383</v>
      </c>
      <c r="G31">
        <f t="shared" si="2"/>
        <v>-5.4226535095949657E-2</v>
      </c>
      <c r="I31">
        <f>G31</f>
        <v>-5.4226535095949657E-2</v>
      </c>
      <c r="O31">
        <f t="shared" ca="1" si="3"/>
        <v>9.5513739288511142E-3</v>
      </c>
      <c r="Q31" s="1">
        <f t="shared" si="4"/>
        <v>41523.842989999997</v>
      </c>
      <c r="R31">
        <f ca="1">(O31-S31)^2</f>
        <v>9.122874392873677E-5</v>
      </c>
    </row>
    <row r="32" spans="1:19">
      <c r="A32" s="45" t="s">
        <v>57</v>
      </c>
      <c r="B32" s="46"/>
      <c r="C32" s="45">
        <v>56950.294199999997</v>
      </c>
      <c r="D32" s="45">
        <v>3.2000000000000002E-3</v>
      </c>
      <c r="E32">
        <f t="shared" si="0"/>
        <v>0.51860191920307885</v>
      </c>
      <c r="F32">
        <f t="shared" si="1"/>
        <v>0.5</v>
      </c>
      <c r="G32">
        <f t="shared" si="2"/>
        <v>1.9784351243288256E-2</v>
      </c>
      <c r="H32">
        <f>G32</f>
        <v>1.9784351243288256E-2</v>
      </c>
      <c r="O32">
        <f t="shared" ca="1" si="3"/>
        <v>1.611672166217527E-2</v>
      </c>
      <c r="Q32" s="1">
        <f t="shared" si="4"/>
        <v>41931.794199999997</v>
      </c>
      <c r="R32">
        <f ca="1">(O32-S32)^2</f>
        <v>2.5974871713602962E-4</v>
      </c>
    </row>
    <row r="33" spans="3:17">
      <c r="C33" s="9"/>
      <c r="D33" s="9"/>
      <c r="Q33" s="1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2024-01-20T04:39:22Z</dcterms:modified>
</cp:coreProperties>
</file>