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C65F520-5F08-45E6-8566-3D63E9CDD8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4" r:id="rId1"/>
    <sheet name="A (old)" sheetId="3" r:id="rId2"/>
    <sheet name="BAV" sheetId="5" r:id="rId3"/>
  </sheets>
  <calcPr calcId="181029"/>
</workbook>
</file>

<file path=xl/calcChain.xml><?xml version="1.0" encoding="utf-8"?>
<calcChain xmlns="http://schemas.openxmlformats.org/spreadsheetml/2006/main">
  <c r="E31" i="4" l="1"/>
  <c r="F31" i="4" s="1"/>
  <c r="G31" i="4" s="1"/>
  <c r="K31" i="4" s="1"/>
  <c r="Q31" i="4"/>
  <c r="E29" i="4"/>
  <c r="F29" i="4"/>
  <c r="G29" i="4"/>
  <c r="I29" i="4"/>
  <c r="F21" i="4"/>
  <c r="G21" i="4"/>
  <c r="K21" i="4"/>
  <c r="E23" i="4"/>
  <c r="F23" i="4"/>
  <c r="G23" i="4"/>
  <c r="K23" i="4"/>
  <c r="E24" i="4"/>
  <c r="F24" i="4"/>
  <c r="G24" i="4"/>
  <c r="K24" i="4"/>
  <c r="E25" i="4"/>
  <c r="F25" i="4"/>
  <c r="G25" i="4"/>
  <c r="J25" i="4"/>
  <c r="E26" i="4"/>
  <c r="F26" i="4"/>
  <c r="G26" i="4"/>
  <c r="K26" i="4"/>
  <c r="E27" i="4"/>
  <c r="F27" i="4"/>
  <c r="G27" i="4"/>
  <c r="K27" i="4"/>
  <c r="E28" i="4"/>
  <c r="F28" i="4"/>
  <c r="G28" i="4"/>
  <c r="K28" i="4"/>
  <c r="E30" i="4"/>
  <c r="F30" i="4"/>
  <c r="G30" i="4"/>
  <c r="K30" i="4"/>
  <c r="Q29" i="4"/>
  <c r="E21" i="4"/>
  <c r="E22" i="4"/>
  <c r="F22" i="4"/>
  <c r="G22" i="4"/>
  <c r="K22" i="4"/>
  <c r="Q30" i="4"/>
  <c r="G14" i="5"/>
  <c r="C14" i="5"/>
  <c r="E14" i="5"/>
  <c r="G13" i="5"/>
  <c r="C13" i="5"/>
  <c r="E13" i="5"/>
  <c r="G12" i="5"/>
  <c r="C12" i="5"/>
  <c r="E12" i="5"/>
  <c r="G11" i="5"/>
  <c r="C11" i="5"/>
  <c r="E11" i="5"/>
  <c r="H14" i="5"/>
  <c r="D14" i="5"/>
  <c r="B14" i="5"/>
  <c r="A14" i="5"/>
  <c r="H13" i="5"/>
  <c r="B13" i="5"/>
  <c r="D13" i="5"/>
  <c r="A13" i="5"/>
  <c r="H12" i="5"/>
  <c r="D12" i="5"/>
  <c r="B12" i="5"/>
  <c r="A12" i="5"/>
  <c r="H11" i="5"/>
  <c r="B11" i="5"/>
  <c r="D11" i="5"/>
  <c r="A11" i="5"/>
  <c r="Q28" i="4"/>
  <c r="C9" i="4"/>
  <c r="D9" i="4"/>
  <c r="Q25" i="4"/>
  <c r="F16" i="4"/>
  <c r="F17" i="4" s="1"/>
  <c r="C17" i="4"/>
  <c r="Q21" i="4"/>
  <c r="Q22" i="4"/>
  <c r="Q23" i="4"/>
  <c r="Q24" i="4"/>
  <c r="Q26" i="4"/>
  <c r="Q27" i="4"/>
  <c r="F11" i="3"/>
  <c r="Q26" i="3"/>
  <c r="C7" i="3"/>
  <c r="E25" i="3"/>
  <c r="F25" i="3"/>
  <c r="C8" i="3"/>
  <c r="G11" i="3"/>
  <c r="E14" i="3"/>
  <c r="E15" i="3" s="1"/>
  <c r="C17" i="3"/>
  <c r="Q21" i="3"/>
  <c r="Q22" i="3"/>
  <c r="E23" i="3"/>
  <c r="F23" i="3"/>
  <c r="Q23" i="3"/>
  <c r="Q24" i="3"/>
  <c r="R24" i="3"/>
  <c r="Q25" i="3"/>
  <c r="G23" i="3"/>
  <c r="I23" i="3"/>
  <c r="E22" i="3"/>
  <c r="F22" i="3"/>
  <c r="G25" i="3"/>
  <c r="I25" i="3"/>
  <c r="E26" i="3"/>
  <c r="F26" i="3"/>
  <c r="E24" i="3"/>
  <c r="F24" i="3"/>
  <c r="G24" i="3"/>
  <c r="I24" i="3"/>
  <c r="G26" i="3"/>
  <c r="I26" i="3"/>
  <c r="G22" i="3"/>
  <c r="I22" i="3"/>
  <c r="E21" i="3"/>
  <c r="F21" i="3"/>
  <c r="G21" i="3"/>
  <c r="H21" i="3"/>
  <c r="C11" i="3"/>
  <c r="C12" i="4"/>
  <c r="C11" i="4"/>
  <c r="C12" i="3"/>
  <c r="O31" i="4" l="1"/>
  <c r="C16" i="3"/>
  <c r="D18" i="3" s="1"/>
  <c r="O24" i="4"/>
  <c r="O30" i="4"/>
  <c r="O26" i="4"/>
  <c r="O28" i="4"/>
  <c r="O22" i="4"/>
  <c r="C15" i="4"/>
  <c r="O29" i="4"/>
  <c r="O23" i="4"/>
  <c r="O21" i="4"/>
  <c r="O25" i="4"/>
  <c r="O27" i="4"/>
  <c r="O21" i="3"/>
  <c r="O25" i="3"/>
  <c r="O23" i="3"/>
  <c r="C15" i="3"/>
  <c r="O26" i="3"/>
  <c r="O22" i="3"/>
  <c r="O24" i="3"/>
  <c r="C16" i="4"/>
  <c r="D18" i="4" s="1"/>
  <c r="E16" i="3" l="1"/>
  <c r="E17" i="3" s="1"/>
  <c r="C18" i="3"/>
  <c r="C18" i="4"/>
  <c r="F18" i="4"/>
  <c r="F19" i="4" s="1"/>
</calcChain>
</file>

<file path=xl/sharedStrings.xml><?xml version="1.0" encoding="utf-8"?>
<sst xmlns="http://schemas.openxmlformats.org/spreadsheetml/2006/main" count="164" uniqueCount="89">
  <si>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</si>
  <si>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</si>
  <si>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</si>
  <si>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</si>
  <si>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</si>
  <si>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</si>
  <si>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</si>
  <si>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</si>
  <si>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</si>
  <si>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</si>
  <si>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</si>
  <si>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</si>
  <si>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</si>
  <si>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</si>
  <si>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</si>
  <si>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</si>
  <si>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</si>
  <si>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</si>
  <si>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</si>
  <si>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</si>
  <si>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</si>
  <si>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</si>
  <si>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</si>
  <si>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</si>
  <si>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</si>
  <si>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</si>
  <si>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</si>
  <si>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</si>
  <si>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</si>
  <si>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</si>
  <si>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</si>
  <si>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</si>
  <si>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</si>
  <si>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</si>
  <si>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</si>
  <si>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</si>
  <si>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</si>
  <si>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</si>
  <si>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</si>
  <si>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</si>
  <si>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V0961 Cas / GSC 3658-0076</t>
  </si>
  <si>
    <t>IBVS 5920</t>
  </si>
  <si>
    <t>II</t>
  </si>
  <si>
    <t>IBVS 5437</t>
  </si>
  <si>
    <t>EB</t>
  </si>
  <si>
    <t>Add cycle</t>
  </si>
  <si>
    <t>Old Cycle</t>
  </si>
  <si>
    <t>IBVS 5960</t>
  </si>
  <si>
    <t>OEJV 0160</t>
  </si>
  <si>
    <t>I</t>
  </si>
  <si>
    <t>IBVS 5984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</si>
  <si>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</si>
  <si>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</si>
  <si>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</si>
  <si>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</si>
  <si>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</si>
  <si>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</si>
  <si>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</si>
  <si>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</si>
  <si>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</si>
  <si>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</si>
  <si>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</si>
  <si>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</si>
  <si>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2455158.6349 </t>
  </si>
  <si>
    <t> 23.11.2009 03:14 </t>
  </si>
  <si>
    <t> 0.2181 </t>
  </si>
  <si>
    <t>C </t>
  </si>
  <si>
    <t> R.Diethelm </t>
  </si>
  <si>
    <t>IBVS 5920 </t>
  </si>
  <si>
    <t>2455473.5740 </t>
  </si>
  <si>
    <t> 04.10.2010 01:46 </t>
  </si>
  <si>
    <t> -0.1847 </t>
  </si>
  <si>
    <t>-I</t>
  </si>
  <si>
    <t> F.Agerer </t>
  </si>
  <si>
    <t>BAVM 215 </t>
  </si>
  <si>
    <t>2455517.6429 </t>
  </si>
  <si>
    <t> 17.11.2010 03:25 </t>
  </si>
  <si>
    <t>3750</t>
  </si>
  <si>
    <t> -0.1877 </t>
  </si>
  <si>
    <t>IBVS 5960 </t>
  </si>
  <si>
    <t>2456155.50764 </t>
  </si>
  <si>
    <t> 16.08.2012 00:11 </t>
  </si>
  <si>
    <t>4589</t>
  </si>
  <si>
    <t> 0.15450 </t>
  </si>
  <si>
    <t> J.Trnka </t>
  </si>
  <si>
    <t>OEJV 0160 </t>
  </si>
  <si>
    <t>RHN 2017</t>
  </si>
  <si>
    <t>Period checked by ToMcat 2017-10-27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</si>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</sst>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4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9"/>
      <color indexed="8"/>
      <name val="CourierNewPSMT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9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24" borderId="5" xfId="0" applyFont="1" applyFill="1" applyBorder="1" applyAlignment="1"/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37" fillId="0" borderId="0" xfId="42" applyFont="1" applyAlignment="1">
      <alignment vertical="center" wrapText="1"/>
    </xf>
    <xf numFmtId="0" fontId="37" fillId="0" borderId="0" xfId="42" applyFont="1" applyAlignment="1">
      <alignment horizontal="center" vertical="center" wrapText="1"/>
    </xf>
    <xf numFmtId="0" fontId="37" fillId="0" borderId="0" xfId="42" applyFont="1" applyAlignment="1">
      <alignment horizontal="left" vertical="center" wrapText="1"/>
    </xf>
    <xf numFmtId="0" fontId="2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V961 Cas - O-C Diagr.</a:t>
            </a:r>
          </a:p>
        </c:rich>
      </c:tx>
      <c:layout>
        <c:manualLayout>
          <c:xMode val="edge"/>
          <c:yMode val="edge"/>
          <c:x val="0.37173627490112121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9295583860743"/>
          <c:y val="0.14953316519776211"/>
          <c:w val="0.80798892327447447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2.7000000000000001E-3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1.0200000000000001E-2</c:v>
                  </c:pt>
                  <c:pt idx="9">
                    <c:v>2.0000000000000001E-4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2.7000000000000001E-3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1.0200000000000001E-2</c:v>
                  </c:pt>
                  <c:pt idx="9">
                    <c:v>2.0000000000000001E-4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-4589</c:v>
                </c:pt>
                <c:pt idx="1">
                  <c:v>-4585</c:v>
                </c:pt>
                <c:pt idx="2">
                  <c:v>-4574.5</c:v>
                </c:pt>
                <c:pt idx="3">
                  <c:v>-1311.5</c:v>
                </c:pt>
                <c:pt idx="4">
                  <c:v>-897</c:v>
                </c:pt>
                <c:pt idx="5">
                  <c:v>-839</c:v>
                </c:pt>
                <c:pt idx="6">
                  <c:v>0.5</c:v>
                </c:pt>
                <c:pt idx="7">
                  <c:v>725.5</c:v>
                </c:pt>
                <c:pt idx="8">
                  <c:v>1545.5</c:v>
                </c:pt>
                <c:pt idx="9">
                  <c:v>2500</c:v>
                </c:pt>
                <c:pt idx="10">
                  <c:v>4561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30-40D7-B551-4A5A198C13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2.7000000000000001E-3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1.0200000000000001E-2</c:v>
                  </c:pt>
                  <c:pt idx="9">
                    <c:v>2.0000000000000001E-4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2.7000000000000001E-3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1.0200000000000001E-2</c:v>
                  </c:pt>
                  <c:pt idx="9">
                    <c:v>2.0000000000000001E-4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-4589</c:v>
                </c:pt>
                <c:pt idx="1">
                  <c:v>-4585</c:v>
                </c:pt>
                <c:pt idx="2">
                  <c:v>-4574.5</c:v>
                </c:pt>
                <c:pt idx="3">
                  <c:v>-1311.5</c:v>
                </c:pt>
                <c:pt idx="4">
                  <c:v>-897</c:v>
                </c:pt>
                <c:pt idx="5">
                  <c:v>-839</c:v>
                </c:pt>
                <c:pt idx="6">
                  <c:v>0.5</c:v>
                </c:pt>
                <c:pt idx="7">
                  <c:v>725.5</c:v>
                </c:pt>
                <c:pt idx="8">
                  <c:v>1545.5</c:v>
                </c:pt>
                <c:pt idx="9">
                  <c:v>2500</c:v>
                </c:pt>
                <c:pt idx="10">
                  <c:v>4561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8">
                  <c:v>-5.9707847249228507E-3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30-40D7-B551-4A5A198C131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2.7000000000000001E-3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1.0200000000000001E-2</c:v>
                  </c:pt>
                  <c:pt idx="9">
                    <c:v>2.0000000000000001E-4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2.7000000000000001E-3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1.0200000000000001E-2</c:v>
                  </c:pt>
                  <c:pt idx="9">
                    <c:v>2.0000000000000001E-4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-4589</c:v>
                </c:pt>
                <c:pt idx="1">
                  <c:v>-4585</c:v>
                </c:pt>
                <c:pt idx="2">
                  <c:v>-4574.5</c:v>
                </c:pt>
                <c:pt idx="3">
                  <c:v>-1311.5</c:v>
                </c:pt>
                <c:pt idx="4">
                  <c:v>-897</c:v>
                </c:pt>
                <c:pt idx="5">
                  <c:v>-839</c:v>
                </c:pt>
                <c:pt idx="6">
                  <c:v>0.5</c:v>
                </c:pt>
                <c:pt idx="7">
                  <c:v>725.5</c:v>
                </c:pt>
                <c:pt idx="8">
                  <c:v>1545.5</c:v>
                </c:pt>
                <c:pt idx="9">
                  <c:v>2500</c:v>
                </c:pt>
                <c:pt idx="10">
                  <c:v>4561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4">
                  <c:v>-1.9482036223053001E-3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30-40D7-B551-4A5A198C131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2.7000000000000001E-3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1.0200000000000001E-2</c:v>
                  </c:pt>
                  <c:pt idx="9">
                    <c:v>2.0000000000000001E-4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2.7000000000000001E-3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1.0200000000000001E-2</c:v>
                  </c:pt>
                  <c:pt idx="9">
                    <c:v>2.0000000000000001E-4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-4589</c:v>
                </c:pt>
                <c:pt idx="1">
                  <c:v>-4585</c:v>
                </c:pt>
                <c:pt idx="2">
                  <c:v>-4574.5</c:v>
                </c:pt>
                <c:pt idx="3">
                  <c:v>-1311.5</c:v>
                </c:pt>
                <c:pt idx="4">
                  <c:v>-897</c:v>
                </c:pt>
                <c:pt idx="5">
                  <c:v>-839</c:v>
                </c:pt>
                <c:pt idx="6">
                  <c:v>0.5</c:v>
                </c:pt>
                <c:pt idx="7">
                  <c:v>725.5</c:v>
                </c:pt>
                <c:pt idx="8">
                  <c:v>1545.5</c:v>
                </c:pt>
                <c:pt idx="9">
                  <c:v>2500</c:v>
                </c:pt>
                <c:pt idx="10">
                  <c:v>4561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2.0982116911909543E-3</c:v>
                </c:pt>
                <c:pt idx="1">
                  <c:v>1.753957723849453E-3</c:v>
                </c:pt>
                <c:pt idx="2">
                  <c:v>-3.6622089537559077E-3</c:v>
                </c:pt>
                <c:pt idx="3">
                  <c:v>6.3761412457097322E-4</c:v>
                </c:pt>
                <c:pt idx="5">
                  <c:v>-2.0898862057947554E-3</c:v>
                </c:pt>
                <c:pt idx="6">
                  <c:v>1.2623116199392825E-3</c:v>
                </c:pt>
                <c:pt idx="7">
                  <c:v>-9.9387206500978209E-3</c:v>
                </c:pt>
                <c:pt idx="9">
                  <c:v>-5.2308885715319775E-3</c:v>
                </c:pt>
                <c:pt idx="10">
                  <c:v>-1.1532747172168456E-2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30-40D7-B551-4A5A198C131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2.7000000000000001E-3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1.0200000000000001E-2</c:v>
                  </c:pt>
                  <c:pt idx="9">
                    <c:v>2.0000000000000001E-4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2.7000000000000001E-3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1.0200000000000001E-2</c:v>
                  </c:pt>
                  <c:pt idx="9">
                    <c:v>2.0000000000000001E-4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-4589</c:v>
                </c:pt>
                <c:pt idx="1">
                  <c:v>-4585</c:v>
                </c:pt>
                <c:pt idx="2">
                  <c:v>-4574.5</c:v>
                </c:pt>
                <c:pt idx="3">
                  <c:v>-1311.5</c:v>
                </c:pt>
                <c:pt idx="4">
                  <c:v>-897</c:v>
                </c:pt>
                <c:pt idx="5">
                  <c:v>-839</c:v>
                </c:pt>
                <c:pt idx="6">
                  <c:v>0.5</c:v>
                </c:pt>
                <c:pt idx="7">
                  <c:v>725.5</c:v>
                </c:pt>
                <c:pt idx="8">
                  <c:v>1545.5</c:v>
                </c:pt>
                <c:pt idx="9">
                  <c:v>2500</c:v>
                </c:pt>
                <c:pt idx="10">
                  <c:v>4561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30-40D7-B551-4A5A198C13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2.7000000000000001E-3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1.0200000000000001E-2</c:v>
                  </c:pt>
                  <c:pt idx="9">
                    <c:v>2.0000000000000001E-4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2.7000000000000001E-3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1.0200000000000001E-2</c:v>
                  </c:pt>
                  <c:pt idx="9">
                    <c:v>2.0000000000000001E-4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-4589</c:v>
                </c:pt>
                <c:pt idx="1">
                  <c:v>-4585</c:v>
                </c:pt>
                <c:pt idx="2">
                  <c:v>-4574.5</c:v>
                </c:pt>
                <c:pt idx="3">
                  <c:v>-1311.5</c:v>
                </c:pt>
                <c:pt idx="4">
                  <c:v>-897</c:v>
                </c:pt>
                <c:pt idx="5">
                  <c:v>-839</c:v>
                </c:pt>
                <c:pt idx="6">
                  <c:v>0.5</c:v>
                </c:pt>
                <c:pt idx="7">
                  <c:v>725.5</c:v>
                </c:pt>
                <c:pt idx="8">
                  <c:v>1545.5</c:v>
                </c:pt>
                <c:pt idx="9">
                  <c:v>2500</c:v>
                </c:pt>
                <c:pt idx="10">
                  <c:v>4561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30-40D7-B551-4A5A198C13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2.7000000000000001E-3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1.0200000000000001E-2</c:v>
                  </c:pt>
                  <c:pt idx="9">
                    <c:v>2.0000000000000001E-4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2.7000000000000001E-3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1.0200000000000001E-2</c:v>
                  </c:pt>
                  <c:pt idx="9">
                    <c:v>2.0000000000000001E-4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-4589</c:v>
                </c:pt>
                <c:pt idx="1">
                  <c:v>-4585</c:v>
                </c:pt>
                <c:pt idx="2">
                  <c:v>-4574.5</c:v>
                </c:pt>
                <c:pt idx="3">
                  <c:v>-1311.5</c:v>
                </c:pt>
                <c:pt idx="4">
                  <c:v>-897</c:v>
                </c:pt>
                <c:pt idx="5">
                  <c:v>-839</c:v>
                </c:pt>
                <c:pt idx="6">
                  <c:v>0.5</c:v>
                </c:pt>
                <c:pt idx="7">
                  <c:v>725.5</c:v>
                </c:pt>
                <c:pt idx="8">
                  <c:v>1545.5</c:v>
                </c:pt>
                <c:pt idx="9">
                  <c:v>2500</c:v>
                </c:pt>
                <c:pt idx="10">
                  <c:v>4561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30-40D7-B551-4A5A198C13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-4589</c:v>
                </c:pt>
                <c:pt idx="1">
                  <c:v>-4585</c:v>
                </c:pt>
                <c:pt idx="2">
                  <c:v>-4574.5</c:v>
                </c:pt>
                <c:pt idx="3">
                  <c:v>-1311.5</c:v>
                </c:pt>
                <c:pt idx="4">
                  <c:v>-897</c:v>
                </c:pt>
                <c:pt idx="5">
                  <c:v>-839</c:v>
                </c:pt>
                <c:pt idx="6">
                  <c:v>0.5</c:v>
                </c:pt>
                <c:pt idx="7">
                  <c:v>725.5</c:v>
                </c:pt>
                <c:pt idx="8">
                  <c:v>1545.5</c:v>
                </c:pt>
                <c:pt idx="9">
                  <c:v>2500</c:v>
                </c:pt>
                <c:pt idx="10">
                  <c:v>4561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1.3088836802710793E-3</c:v>
                </c:pt>
                <c:pt idx="1">
                  <c:v>1.3043254103242913E-3</c:v>
                </c:pt>
                <c:pt idx="2">
                  <c:v>1.2923599517139749E-3</c:v>
                </c:pt>
                <c:pt idx="3">
                  <c:v>-2.4260487573778411E-3</c:v>
                </c:pt>
                <c:pt idx="4">
                  <c:v>-2.8983994806136846E-3</c:v>
                </c:pt>
                <c:pt idx="5">
                  <c:v>-2.9644943948421015E-3</c:v>
                </c:pt>
                <c:pt idx="6">
                  <c:v>-3.9211612999241058E-3</c:v>
                </c:pt>
                <c:pt idx="7">
                  <c:v>-4.7473477277793202E-3</c:v>
                </c:pt>
                <c:pt idx="8">
                  <c:v>-5.6817930668707356E-3</c:v>
                </c:pt>
                <c:pt idx="9">
                  <c:v>-6.7695102329228775E-3</c:v>
                </c:pt>
                <c:pt idx="10">
                  <c:v>-9.118158823005082E-3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30-40D7-B551-4A5A198C1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0032096"/>
        <c:axId val="1"/>
      </c:scatterChart>
      <c:valAx>
        <c:axId val="680032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95472340151029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91244239631339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0032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99264204877614"/>
          <c:y val="0.91900605882208652"/>
          <c:w val="0.64209006132297974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V961 Cas - O-C Diagr.</a:t>
            </a:r>
          </a:p>
        </c:rich>
      </c:tx>
      <c:layout>
        <c:manualLayout>
          <c:xMode val="edge"/>
          <c:yMode val="edge"/>
          <c:x val="0.3738743467877325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24325533041146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'A (old)'!$D$21:$D$238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</c:v>
                </c:pt>
                <c:pt idx="2">
                  <c:v>14.5</c:v>
                </c:pt>
                <c:pt idx="3">
                  <c:v>3277.5</c:v>
                </c:pt>
                <c:pt idx="4">
                  <c:v>3750</c:v>
                </c:pt>
                <c:pt idx="5">
                  <c:v>4589.5</c:v>
                </c:pt>
              </c:numCache>
            </c:numRef>
          </c:xVal>
          <c:yVal>
            <c:numRef>
              <c:f>'A (old)'!$H$21:$H$998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A-4488-8D52-E3C2130A764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</c:v>
                </c:pt>
                <c:pt idx="2">
                  <c:v>14.5</c:v>
                </c:pt>
                <c:pt idx="3">
                  <c:v>3277.5</c:v>
                </c:pt>
                <c:pt idx="4">
                  <c:v>3750</c:v>
                </c:pt>
                <c:pt idx="5">
                  <c:v>4589.5</c:v>
                </c:pt>
              </c:numCache>
            </c:numRef>
          </c:xVal>
          <c:yVal>
            <c:numRef>
              <c:f>'A (old)'!$I$21:$I$998</c:f>
              <c:numCache>
                <c:formatCode>General</c:formatCode>
                <c:ptCount val="978"/>
                <c:pt idx="1">
                  <c:v>-5.4000000091036782E-4</c:v>
                </c:pt>
                <c:pt idx="2">
                  <c:v>-6.4700000002630986E-3</c:v>
                </c:pt>
                <c:pt idx="3">
                  <c:v>-0.16185000000405125</c:v>
                </c:pt>
                <c:pt idx="4">
                  <c:v>-0.18770000000222353</c:v>
                </c:pt>
                <c:pt idx="5">
                  <c:v>-0.22542999999859603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4A-4488-8D52-E3C2130A764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</c:v>
                </c:pt>
                <c:pt idx="2">
                  <c:v>14.5</c:v>
                </c:pt>
                <c:pt idx="3">
                  <c:v>3277.5</c:v>
                </c:pt>
                <c:pt idx="4">
                  <c:v>3750</c:v>
                </c:pt>
                <c:pt idx="5">
                  <c:v>4589.5</c:v>
                </c:pt>
              </c:numCache>
            </c:numRef>
          </c:xVal>
          <c:yVal>
            <c:numRef>
              <c:f>'A (old)'!$J$21:$J$998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4A-4488-8D52-E3C2130A764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</c:v>
                </c:pt>
                <c:pt idx="2">
                  <c:v>14.5</c:v>
                </c:pt>
                <c:pt idx="3">
                  <c:v>3277.5</c:v>
                </c:pt>
                <c:pt idx="4">
                  <c:v>3750</c:v>
                </c:pt>
                <c:pt idx="5">
                  <c:v>4589.5</c:v>
                </c:pt>
              </c:numCache>
            </c:numRef>
          </c:xVal>
          <c:yVal>
            <c:numRef>
              <c:f>'A (old)'!$K$21:$K$998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4A-4488-8D52-E3C2130A764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</c:v>
                </c:pt>
                <c:pt idx="2">
                  <c:v>14.5</c:v>
                </c:pt>
                <c:pt idx="3">
                  <c:v>3277.5</c:v>
                </c:pt>
                <c:pt idx="4">
                  <c:v>3750</c:v>
                </c:pt>
                <c:pt idx="5">
                  <c:v>4589.5</c:v>
                </c:pt>
              </c:numCache>
            </c:numRef>
          </c:xVal>
          <c:yVal>
            <c:numRef>
              <c:f>'A (old)'!$L$21:$L$998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4A-4488-8D52-E3C2130A764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</c:v>
                </c:pt>
                <c:pt idx="2">
                  <c:v>14.5</c:v>
                </c:pt>
                <c:pt idx="3">
                  <c:v>3277.5</c:v>
                </c:pt>
                <c:pt idx="4">
                  <c:v>3750</c:v>
                </c:pt>
                <c:pt idx="5">
                  <c:v>4589.5</c:v>
                </c:pt>
              </c:numCache>
            </c:numRef>
          </c:xVal>
          <c:yVal>
            <c:numRef>
              <c:f>'A (old)'!$M$21:$M$998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4A-4488-8D52-E3C2130A764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</c:v>
                </c:pt>
                <c:pt idx="2">
                  <c:v>14.5</c:v>
                </c:pt>
                <c:pt idx="3">
                  <c:v>3277.5</c:v>
                </c:pt>
                <c:pt idx="4">
                  <c:v>3750</c:v>
                </c:pt>
                <c:pt idx="5">
                  <c:v>4589.5</c:v>
                </c:pt>
              </c:numCache>
            </c:numRef>
          </c:xVal>
          <c:yVal>
            <c:numRef>
              <c:f>'A (old)'!$N$21:$N$998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4A-4488-8D52-E3C2130A764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</c:v>
                </c:pt>
                <c:pt idx="2">
                  <c:v>14.5</c:v>
                </c:pt>
                <c:pt idx="3">
                  <c:v>3277.5</c:v>
                </c:pt>
                <c:pt idx="4">
                  <c:v>3750</c:v>
                </c:pt>
                <c:pt idx="5">
                  <c:v>4589.5</c:v>
                </c:pt>
              </c:numCache>
            </c:numRef>
          </c:xVal>
          <c:yVal>
            <c:numRef>
              <c:f>'A (old)'!$O$21:$O$998</c:f>
              <c:numCache>
                <c:formatCode>General</c:formatCode>
                <c:ptCount val="978"/>
                <c:pt idx="0">
                  <c:v>-2.0982116927129174E-3</c:v>
                </c:pt>
                <c:pt idx="1">
                  <c:v>-2.293957721624358E-3</c:v>
                </c:pt>
                <c:pt idx="2">
                  <c:v>-2.8077910475168897E-3</c:v>
                </c:pt>
                <c:pt idx="3">
                  <c:v>-0.16248761413202456</c:v>
                </c:pt>
                <c:pt idx="4">
                  <c:v>-0.1856101137971885</c:v>
                </c:pt>
                <c:pt idx="5">
                  <c:v>-0.2266923116149771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4A-4488-8D52-E3C2130A7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0025976"/>
        <c:axId val="1"/>
      </c:scatterChart>
      <c:valAx>
        <c:axId val="680025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263137152901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0025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3573605101164155"/>
          <c:y val="0.92397937099967764"/>
          <c:w val="0.90840966951203161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9525</xdr:colOff>
      <xdr:row>17</xdr:row>
      <xdr:rowOff>152400</xdr:rowOff>
    </xdr:to>
    <xdr:graphicFrame macro="">
      <xdr:nvGraphicFramePr>
        <xdr:cNvPr id="53250" name="Chart 1">
          <a:extLst>
            <a:ext uri="{FF2B5EF4-FFF2-40B4-BE49-F238E27FC236}">
              <a16:creationId xmlns:a16="http://schemas.microsoft.com/office/drawing/2014/main" id="{763B39BB-4997-706D-7CD1-25A9A8BFC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38100</xdr:rowOff>
    </xdr:from>
    <xdr:to>
      <xdr:col>16</xdr:col>
      <xdr:colOff>142875</xdr:colOff>
      <xdr:row>19</xdr:row>
      <xdr:rowOff>47625</xdr:rowOff>
    </xdr:to>
    <xdr:graphicFrame macro="">
      <xdr:nvGraphicFramePr>
        <xdr:cNvPr id="52226" name="Chart 1025">
          <a:extLst>
            <a:ext uri="{FF2B5EF4-FFF2-40B4-BE49-F238E27FC236}">
              <a16:creationId xmlns:a16="http://schemas.microsoft.com/office/drawing/2014/main" id="{D260637A-CE98-B9FE-3BC4-DDFCCB798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960" TargetMode="External"/><Relationship Id="rId2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konkoly.hu/cgi-bin/IBVS?5920" TargetMode="External"/><Relationship Id="rId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Q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: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40</v>
      </c>
    </row>
    <row r="2" spans="1:6" s="55" customFormat="1" ht="12.95" customHeight="1">
      <c r="A2" s="55" t="s">
        <v>26</v>
      </c>
      <c r="B2" s="55" t="s">
        <v>44</v>
      </c>
      <c r="C2" s="56"/>
      <c r="D2" s="56"/>
    </row>
    <row r="3" spans="1:6" s="55" customFormat="1" ht="12.95" customHeight="1" thickBot="1"/>
    <row r="4" spans="1:6" s="55" customFormat="1" ht="12.95" customHeight="1" thickTop="1" thickBot="1">
      <c r="A4" s="57" t="s">
        <v>1</v>
      </c>
      <c r="C4" s="58">
        <v>52668.355600000003</v>
      </c>
      <c r="D4" s="59">
        <v>0.75985999999999998</v>
      </c>
    </row>
    <row r="5" spans="1:6" s="55" customFormat="1" ht="12.95" customHeight="1" thickTop="1">
      <c r="A5" s="60" t="s">
        <v>33</v>
      </c>
      <c r="C5" s="61">
        <v>-9.5</v>
      </c>
      <c r="D5" s="55" t="s">
        <v>34</v>
      </c>
    </row>
    <row r="6" spans="1:6" s="55" customFormat="1" ht="12.95" customHeight="1">
      <c r="A6" s="57" t="s">
        <v>2</v>
      </c>
    </row>
    <row r="7" spans="1:6" s="55" customFormat="1" ht="12.95" customHeight="1">
      <c r="A7" s="55" t="s">
        <v>3</v>
      </c>
      <c r="C7" s="55">
        <v>56155.12647215664</v>
      </c>
    </row>
    <row r="8" spans="1:6" s="55" customFormat="1" ht="12.95" customHeight="1">
      <c r="A8" s="55" t="s">
        <v>4</v>
      </c>
      <c r="C8" s="55">
        <v>0.75981106349277217</v>
      </c>
      <c r="D8" s="62" t="s">
        <v>87</v>
      </c>
    </row>
    <row r="9" spans="1:6" s="55" customFormat="1" ht="12.95" customHeight="1">
      <c r="A9" s="63" t="s">
        <v>39</v>
      </c>
      <c r="B9" s="64">
        <v>21</v>
      </c>
      <c r="C9" s="65" t="str">
        <f>"F"&amp;B9</f>
        <v>F21</v>
      </c>
      <c r="D9" s="66" t="str">
        <f>"G"&amp;B9</f>
        <v>G21</v>
      </c>
    </row>
    <row r="10" spans="1:6" s="55" customFormat="1" ht="12.95" customHeight="1" thickBot="1">
      <c r="C10" s="67" t="s">
        <v>22</v>
      </c>
      <c r="D10" s="67" t="s">
        <v>23</v>
      </c>
    </row>
    <row r="11" spans="1:6" s="55" customFormat="1" ht="12.95" customHeight="1">
      <c r="A11" s="55" t="s">
        <v>17</v>
      </c>
      <c r="C11" s="66">
        <f ca="1">INTERCEPT(INDIRECT($D$9):G991,INDIRECT($C$9):F991)</f>
        <v>-3.9205915161807572E-3</v>
      </c>
      <c r="D11" s="56"/>
    </row>
    <row r="12" spans="1:6" s="55" customFormat="1" ht="12.95" customHeight="1">
      <c r="A12" s="55" t="s">
        <v>18</v>
      </c>
      <c r="C12" s="66">
        <f ca="1">SLOPE(INDIRECT($D$9):G991,INDIRECT($C$9):F991)</f>
        <v>-1.1395674866968481E-6</v>
      </c>
      <c r="D12" s="56"/>
    </row>
    <row r="13" spans="1:6" s="55" customFormat="1" ht="12.95" customHeight="1">
      <c r="A13" s="55" t="s">
        <v>21</v>
      </c>
      <c r="C13" s="56" t="s">
        <v>15</v>
      </c>
    </row>
    <row r="14" spans="1:6" s="55" customFormat="1" ht="12.95" customHeight="1"/>
    <row r="15" spans="1:6" s="55" customFormat="1" ht="12.95" customHeight="1">
      <c r="A15" s="68" t="s">
        <v>19</v>
      </c>
      <c r="C15" s="69">
        <f ca="1">(C7+C11)+(C8+C12)*INT(MAX(F21:F3532))</f>
        <v>59620.615614588351</v>
      </c>
      <c r="E15" s="70" t="s">
        <v>45</v>
      </c>
      <c r="F15" s="61">
        <v>1</v>
      </c>
    </row>
    <row r="16" spans="1:6" s="55" customFormat="1" ht="12.95" customHeight="1">
      <c r="A16" s="57" t="s">
        <v>5</v>
      </c>
      <c r="C16" s="71">
        <f ca="1">+C8+C12</f>
        <v>0.75980992392528546</v>
      </c>
      <c r="E16" s="70" t="s">
        <v>35</v>
      </c>
      <c r="F16" s="72">
        <f ca="1">NOW()+15018.5+$C$5/24</f>
        <v>60313.800099074069</v>
      </c>
    </row>
    <row r="17" spans="1:17" s="55" customFormat="1" ht="12.95" customHeight="1" thickBot="1">
      <c r="A17" s="70" t="s">
        <v>32</v>
      </c>
      <c r="C17" s="55">
        <f>COUNT(C21:C2190)</f>
        <v>11</v>
      </c>
      <c r="E17" s="70" t="s">
        <v>46</v>
      </c>
      <c r="F17" s="72">
        <f ca="1">ROUND(2*(F16-$C$7)/$C$8,0)/2+F15</f>
        <v>5474.5</v>
      </c>
    </row>
    <row r="18" spans="1:17" s="55" customFormat="1" ht="12.95" customHeight="1" thickTop="1" thickBot="1">
      <c r="A18" s="57" t="s">
        <v>6</v>
      </c>
      <c r="C18" s="73">
        <f ca="1">+C15</f>
        <v>59620.615614588351</v>
      </c>
      <c r="D18" s="74">
        <f ca="1">+C16</f>
        <v>0.75980992392528546</v>
      </c>
      <c r="E18" s="70" t="s">
        <v>36</v>
      </c>
      <c r="F18" s="66">
        <f ca="1">ROUND(2*(F16-$C$15)/$C$16,0)/2+F15</f>
        <v>913.5</v>
      </c>
    </row>
    <row r="19" spans="1:17" s="55" customFormat="1" ht="12.95" customHeight="1" thickTop="1">
      <c r="E19" s="70" t="s">
        <v>37</v>
      </c>
      <c r="F19" s="75">
        <f ca="1">+$C$15+$C$16*F18-15018.5-$C$5/24</f>
        <v>45296.597813427434</v>
      </c>
    </row>
    <row r="20" spans="1:17" s="55" customFormat="1" ht="12.95" customHeight="1" thickBot="1">
      <c r="A20" s="67" t="s">
        <v>7</v>
      </c>
      <c r="B20" s="67" t="s">
        <v>8</v>
      </c>
      <c r="C20" s="67" t="s">
        <v>9</v>
      </c>
      <c r="D20" s="67" t="s">
        <v>14</v>
      </c>
      <c r="E20" s="67" t="s">
        <v>10</v>
      </c>
      <c r="F20" s="67" t="s">
        <v>11</v>
      </c>
      <c r="G20" s="67" t="s">
        <v>12</v>
      </c>
      <c r="H20" s="76" t="s">
        <v>59</v>
      </c>
      <c r="I20" s="76" t="s">
        <v>62</v>
      </c>
      <c r="J20" s="76" t="s">
        <v>56</v>
      </c>
      <c r="K20" s="76" t="s">
        <v>54</v>
      </c>
      <c r="L20" s="76" t="s">
        <v>28</v>
      </c>
      <c r="M20" s="76" t="s">
        <v>29</v>
      </c>
      <c r="N20" s="76" t="s">
        <v>30</v>
      </c>
      <c r="O20" s="76" t="s">
        <v>25</v>
      </c>
      <c r="P20" s="77" t="s">
        <v>24</v>
      </c>
      <c r="Q20" s="67" t="s">
        <v>16</v>
      </c>
    </row>
    <row r="21" spans="1:17" s="55" customFormat="1" ht="12.95" customHeight="1">
      <c r="A21" s="55" t="s">
        <v>13</v>
      </c>
      <c r="C21" s="78">
        <v>52668.355600000003</v>
      </c>
      <c r="D21" s="78" t="s">
        <v>15</v>
      </c>
      <c r="E21" s="55">
        <f t="shared" ref="E21:E30" si="0">+(C21-C$7)/C$8</f>
        <v>-4588.9972385086312</v>
      </c>
      <c r="F21" s="55">
        <f t="shared" ref="F21:F30" si="1">ROUND(2*E21,0)/2</f>
        <v>-4589</v>
      </c>
      <c r="G21" s="55">
        <f t="shared" ref="G21:G30" si="2">+C21-(C$7+F21*C$8)</f>
        <v>2.0982116911909543E-3</v>
      </c>
      <c r="K21" s="55">
        <f>+G21</f>
        <v>2.0982116911909543E-3</v>
      </c>
      <c r="O21" s="55">
        <f t="shared" ref="O21:O30" ca="1" si="3">+C$11+C$12*$F21</f>
        <v>1.3088836802710793E-3</v>
      </c>
      <c r="Q21" s="79">
        <f t="shared" ref="Q21:Q30" si="4">+C21-15018.5</f>
        <v>37649.855600000003</v>
      </c>
    </row>
    <row r="22" spans="1:17" s="55" customFormat="1" ht="12.95" customHeight="1">
      <c r="A22" s="55" t="s">
        <v>43</v>
      </c>
      <c r="B22" s="56" t="s">
        <v>42</v>
      </c>
      <c r="C22" s="78">
        <v>52671.394500000002</v>
      </c>
      <c r="D22" s="80">
        <v>8.9999999999999998E-4</v>
      </c>
      <c r="E22" s="81">
        <f t="shared" si="0"/>
        <v>-4584.9976915870193</v>
      </c>
      <c r="F22" s="81">
        <f t="shared" si="1"/>
        <v>-4585</v>
      </c>
      <c r="G22" s="55">
        <f t="shared" si="2"/>
        <v>1.753957723849453E-3</v>
      </c>
      <c r="K22" s="55">
        <f>+G22</f>
        <v>1.753957723849453E-3</v>
      </c>
      <c r="O22" s="55">
        <f t="shared" ca="1" si="3"/>
        <v>1.3043254103242913E-3</v>
      </c>
      <c r="Q22" s="79">
        <f t="shared" si="4"/>
        <v>37652.894500000002</v>
      </c>
    </row>
    <row r="23" spans="1:17" s="55" customFormat="1" ht="12.95" customHeight="1">
      <c r="A23" s="82" t="s">
        <v>43</v>
      </c>
      <c r="B23" s="35" t="s">
        <v>42</v>
      </c>
      <c r="C23" s="34">
        <v>52679.367100000003</v>
      </c>
      <c r="D23" s="36">
        <v>8.0000000000000004E-4</v>
      </c>
      <c r="E23" s="83">
        <f t="shared" si="0"/>
        <v>-4574.5048198942168</v>
      </c>
      <c r="F23" s="81">
        <f t="shared" si="1"/>
        <v>-4574.5</v>
      </c>
      <c r="G23" s="55">
        <f t="shared" si="2"/>
        <v>-3.6622089537559077E-3</v>
      </c>
      <c r="K23" s="55">
        <f>+G23</f>
        <v>-3.6622089537559077E-3</v>
      </c>
      <c r="O23" s="55">
        <f t="shared" ca="1" si="3"/>
        <v>1.2923599517139749E-3</v>
      </c>
      <c r="Q23" s="79">
        <f t="shared" si="4"/>
        <v>37660.867100000003</v>
      </c>
    </row>
    <row r="24" spans="1:17" s="55" customFormat="1" ht="12.95" customHeight="1">
      <c r="A24" s="34" t="s">
        <v>41</v>
      </c>
      <c r="B24" s="35" t="s">
        <v>42</v>
      </c>
      <c r="C24" s="34">
        <v>55158.634899999997</v>
      </c>
      <c r="D24" s="36">
        <v>6.9999999999999999E-4</v>
      </c>
      <c r="E24" s="83">
        <f t="shared" si="0"/>
        <v>-1311.4991608254234</v>
      </c>
      <c r="F24" s="81">
        <f t="shared" si="1"/>
        <v>-1311.5</v>
      </c>
      <c r="G24" s="55">
        <f t="shared" si="2"/>
        <v>6.3761412457097322E-4</v>
      </c>
      <c r="K24" s="55">
        <f>+G24</f>
        <v>6.3761412457097322E-4</v>
      </c>
      <c r="O24" s="55">
        <f t="shared" ca="1" si="3"/>
        <v>-2.4260487573778411E-3</v>
      </c>
      <c r="Q24" s="79">
        <f t="shared" si="4"/>
        <v>40140.134899999997</v>
      </c>
    </row>
    <row r="25" spans="1:17" s="55" customFormat="1" ht="12.95" customHeight="1">
      <c r="A25" s="82" t="s">
        <v>50</v>
      </c>
      <c r="B25" s="82"/>
      <c r="C25" s="34">
        <v>55473.574000000001</v>
      </c>
      <c r="D25" s="34">
        <v>2.7000000000000001E-3</v>
      </c>
      <c r="E25" s="83">
        <f t="shared" si="0"/>
        <v>-897.00256406324786</v>
      </c>
      <c r="F25" s="81">
        <f t="shared" si="1"/>
        <v>-897</v>
      </c>
      <c r="G25" s="55">
        <f t="shared" si="2"/>
        <v>-1.9482036223053001E-3</v>
      </c>
      <c r="J25" s="55">
        <f>+G25</f>
        <v>-1.9482036223053001E-3</v>
      </c>
      <c r="O25" s="55">
        <f t="shared" ca="1" si="3"/>
        <v>-2.8983994806136846E-3</v>
      </c>
      <c r="Q25" s="79">
        <f t="shared" si="4"/>
        <v>40455.074000000001</v>
      </c>
    </row>
    <row r="26" spans="1:17" s="55" customFormat="1" ht="12.95" customHeight="1">
      <c r="A26" s="82" t="s">
        <v>47</v>
      </c>
      <c r="B26" s="35" t="s">
        <v>42</v>
      </c>
      <c r="C26" s="34">
        <v>55517.642899999999</v>
      </c>
      <c r="D26" s="34">
        <v>2.0000000000000001E-4</v>
      </c>
      <c r="E26" s="83">
        <f t="shared" si="0"/>
        <v>-839.00275053405517</v>
      </c>
      <c r="F26" s="81">
        <f t="shared" si="1"/>
        <v>-839</v>
      </c>
      <c r="G26" s="55">
        <f t="shared" si="2"/>
        <v>-2.0898862057947554E-3</v>
      </c>
      <c r="K26" s="55">
        <f>+G26</f>
        <v>-2.0898862057947554E-3</v>
      </c>
      <c r="O26" s="55">
        <f t="shared" ca="1" si="3"/>
        <v>-2.9644943948421015E-3</v>
      </c>
      <c r="Q26" s="79">
        <f t="shared" si="4"/>
        <v>40499.142899999999</v>
      </c>
    </row>
    <row r="27" spans="1:17" s="55" customFormat="1" ht="12.95" customHeight="1">
      <c r="A27" s="82" t="s">
        <v>48</v>
      </c>
      <c r="B27" s="35" t="s">
        <v>49</v>
      </c>
      <c r="C27" s="34">
        <v>56155.507640000003</v>
      </c>
      <c r="D27" s="34">
        <v>2.9999999999999997E-4</v>
      </c>
      <c r="E27" s="83">
        <f t="shared" si="0"/>
        <v>0.50166134935030349</v>
      </c>
      <c r="F27" s="81">
        <f t="shared" si="1"/>
        <v>0.5</v>
      </c>
      <c r="G27" s="55">
        <f t="shared" si="2"/>
        <v>1.2623116199392825E-3</v>
      </c>
      <c r="K27" s="55">
        <f>+G27</f>
        <v>1.2623116199392825E-3</v>
      </c>
      <c r="O27" s="55">
        <f t="shared" ca="1" si="3"/>
        <v>-3.9211612999241058E-3</v>
      </c>
      <c r="Q27" s="79">
        <f t="shared" si="4"/>
        <v>41137.007640000003</v>
      </c>
    </row>
    <row r="28" spans="1:17" s="55" customFormat="1" ht="12.95" customHeight="1">
      <c r="A28" s="34" t="s">
        <v>51</v>
      </c>
      <c r="B28" s="35" t="s">
        <v>49</v>
      </c>
      <c r="C28" s="84">
        <v>56706.35946</v>
      </c>
      <c r="D28" s="34">
        <v>1.5E-3</v>
      </c>
      <c r="E28" s="83">
        <f t="shared" si="0"/>
        <v>725.48691948416592</v>
      </c>
      <c r="F28" s="81">
        <f t="shared" si="1"/>
        <v>725.5</v>
      </c>
      <c r="G28" s="55">
        <f t="shared" si="2"/>
        <v>-9.9387206500978209E-3</v>
      </c>
      <c r="K28" s="55">
        <f>+G28</f>
        <v>-9.9387206500978209E-3</v>
      </c>
      <c r="O28" s="55">
        <f t="shared" ca="1" si="3"/>
        <v>-4.7473477277793202E-3</v>
      </c>
      <c r="Q28" s="79">
        <f t="shared" si="4"/>
        <v>41687.85946</v>
      </c>
    </row>
    <row r="29" spans="1:17" s="55" customFormat="1" ht="12.95" customHeight="1">
      <c r="A29" s="85" t="s">
        <v>0</v>
      </c>
      <c r="B29" s="86" t="s">
        <v>49</v>
      </c>
      <c r="C29" s="87">
        <v>57329.408499999998</v>
      </c>
      <c r="D29" s="87">
        <v>1.0200000000000001E-2</v>
      </c>
      <c r="E29" s="83">
        <f t="shared" si="0"/>
        <v>1545.4921417507471</v>
      </c>
      <c r="F29" s="81">
        <f t="shared" si="1"/>
        <v>1545.5</v>
      </c>
      <c r="G29" s="55">
        <f t="shared" si="2"/>
        <v>-5.9707847249228507E-3</v>
      </c>
      <c r="I29" s="55">
        <f>+G29</f>
        <v>-5.9707847249228507E-3</v>
      </c>
      <c r="O29" s="55">
        <f t="shared" ca="1" si="3"/>
        <v>-5.6817930668707356E-3</v>
      </c>
      <c r="Q29" s="79">
        <f t="shared" si="4"/>
        <v>42310.908499999998</v>
      </c>
    </row>
    <row r="30" spans="1:17" s="55" customFormat="1" ht="12.95" customHeight="1">
      <c r="A30" s="88" t="s">
        <v>86</v>
      </c>
      <c r="B30" s="82"/>
      <c r="C30" s="34">
        <v>58054.6489</v>
      </c>
      <c r="D30" s="34">
        <v>2.0000000000000001E-4</v>
      </c>
      <c r="E30" s="83">
        <f t="shared" si="0"/>
        <v>2499.9931155403997</v>
      </c>
      <c r="F30" s="81">
        <f t="shared" si="1"/>
        <v>2500</v>
      </c>
      <c r="G30" s="55">
        <f t="shared" si="2"/>
        <v>-5.2308885715319775E-3</v>
      </c>
      <c r="K30" s="55">
        <f>+G30</f>
        <v>-5.2308885715319775E-3</v>
      </c>
      <c r="O30" s="55">
        <f t="shared" ca="1" si="3"/>
        <v>-6.7695102329228775E-3</v>
      </c>
      <c r="Q30" s="79">
        <f t="shared" si="4"/>
        <v>43036.1489</v>
      </c>
    </row>
    <row r="31" spans="1:17" s="55" customFormat="1" ht="12.95" customHeight="1">
      <c r="A31" s="54" t="s">
        <v>88</v>
      </c>
      <c r="B31" s="89" t="s">
        <v>49</v>
      </c>
      <c r="C31" s="90">
        <v>59620.6132</v>
      </c>
      <c r="D31" s="90">
        <v>5.0000000000000001E-4</v>
      </c>
      <c r="E31" s="83">
        <f t="shared" ref="E31" si="5">+(C31-C$7)/C$8</f>
        <v>4560.9848215592947</v>
      </c>
      <c r="F31" s="81">
        <f t="shared" ref="F31" si="6">ROUND(2*E31,0)/2</f>
        <v>4561</v>
      </c>
      <c r="G31" s="55">
        <f t="shared" ref="G31" si="7">+C31-(C$7+F31*C$8)</f>
        <v>-1.1532747172168456E-2</v>
      </c>
      <c r="K31" s="55">
        <f>+G31</f>
        <v>-1.1532747172168456E-2</v>
      </c>
      <c r="O31" s="55">
        <f t="shared" ref="O31" ca="1" si="8">+C$11+C$12*$F31</f>
        <v>-9.118158823005082E-3</v>
      </c>
      <c r="Q31" s="79">
        <f t="shared" ref="Q31" si="9">+C31-15018.5</f>
        <v>44602.1132</v>
      </c>
    </row>
    <row r="32" spans="1:17" s="55" customFormat="1" ht="12.95" customHeight="1">
      <c r="A32" s="82"/>
      <c r="B32" s="82"/>
      <c r="C32" s="34"/>
      <c r="D32" s="34"/>
      <c r="E32" s="82"/>
      <c r="Q32" s="79"/>
    </row>
    <row r="33" spans="1:5" s="55" customFormat="1" ht="12.95" customHeight="1">
      <c r="A33" s="82"/>
      <c r="B33" s="82"/>
      <c r="C33" s="34"/>
      <c r="D33" s="34"/>
      <c r="E33" s="82"/>
    </row>
    <row r="34" spans="1:5" s="55" customFormat="1" ht="12.95" customHeight="1">
      <c r="A34" s="82"/>
      <c r="B34" s="82"/>
      <c r="C34" s="34"/>
      <c r="D34" s="34"/>
      <c r="E34" s="82"/>
    </row>
    <row r="35" spans="1:5" s="55" customFormat="1" ht="12.95" customHeight="1">
      <c r="C35" s="78"/>
      <c r="D35" s="78"/>
    </row>
    <row r="36" spans="1:5" s="55" customFormat="1" ht="12.95" customHeight="1">
      <c r="C36" s="78"/>
      <c r="D36" s="78"/>
    </row>
    <row r="37" spans="1:5" s="55" customFormat="1" ht="12.95" customHeight="1">
      <c r="C37" s="78"/>
      <c r="D37" s="78"/>
    </row>
    <row r="38" spans="1:5" s="55" customFormat="1" ht="12.95" customHeight="1">
      <c r="C38" s="78"/>
      <c r="D38" s="78"/>
    </row>
    <row r="39" spans="1:5" s="55" customFormat="1" ht="12.95" customHeight="1">
      <c r="C39" s="78"/>
      <c r="D39" s="78"/>
    </row>
    <row r="40" spans="1:5" s="55" customFormat="1" ht="12.95" customHeight="1">
      <c r="C40" s="78"/>
      <c r="D40" s="78"/>
    </row>
    <row r="41" spans="1:5" s="55" customFormat="1" ht="12.95" customHeight="1">
      <c r="C41" s="78"/>
      <c r="D41" s="78"/>
    </row>
    <row r="42" spans="1:5" s="55" customFormat="1" ht="12.95" customHeight="1">
      <c r="C42" s="78"/>
      <c r="D42" s="78"/>
    </row>
    <row r="43" spans="1:5" s="55" customFormat="1" ht="12.95" customHeight="1">
      <c r="C43" s="78"/>
      <c r="D43" s="78"/>
    </row>
    <row r="44" spans="1:5" s="55" customFormat="1" ht="12.95" customHeight="1">
      <c r="C44" s="78"/>
      <c r="D44" s="78"/>
    </row>
    <row r="45" spans="1:5" s="55" customFormat="1" ht="12.95" customHeight="1">
      <c r="C45" s="78"/>
      <c r="D45" s="78"/>
    </row>
    <row r="46" spans="1:5" s="55" customFormat="1" ht="12.95" customHeight="1">
      <c r="C46" s="78"/>
      <c r="D46" s="78"/>
    </row>
    <row r="47" spans="1:5" s="55" customFormat="1" ht="12.95" customHeight="1">
      <c r="C47" s="78"/>
      <c r="D47" s="78"/>
    </row>
    <row r="48" spans="1:5" s="55" customFormat="1" ht="12.95" customHeight="1">
      <c r="C48" s="78"/>
      <c r="D48" s="78"/>
    </row>
    <row r="49" spans="3:4" s="55" customFormat="1" ht="12.95" customHeight="1">
      <c r="C49" s="78"/>
      <c r="D49" s="78"/>
    </row>
    <row r="50" spans="3:4" s="55" customFormat="1" ht="12.95" customHeight="1">
      <c r="C50" s="78"/>
      <c r="D50" s="78"/>
    </row>
    <row r="51" spans="3:4" s="55" customFormat="1" ht="12.95" customHeight="1">
      <c r="C51" s="78"/>
      <c r="D51" s="78"/>
    </row>
    <row r="52" spans="3:4" s="55" customFormat="1" ht="12.95" customHeight="1">
      <c r="C52" s="78"/>
      <c r="D52" s="78"/>
    </row>
    <row r="53" spans="3:4" s="55" customFormat="1" ht="12.95" customHeight="1">
      <c r="C53" s="78"/>
      <c r="D53" s="78"/>
    </row>
    <row r="54" spans="3:4" s="55" customFormat="1" ht="12.95" customHeight="1">
      <c r="C54" s="78"/>
      <c r="D54" s="78"/>
    </row>
    <row r="55" spans="3:4" s="55" customFormat="1" ht="12.95" customHeight="1">
      <c r="C55" s="78"/>
      <c r="D55" s="78"/>
    </row>
    <row r="56" spans="3:4" s="55" customFormat="1" ht="12.95" customHeight="1">
      <c r="C56" s="78"/>
      <c r="D56" s="78"/>
    </row>
    <row r="57" spans="3:4" s="55" customFormat="1" ht="12.95" customHeight="1">
      <c r="C57" s="78"/>
      <c r="D57" s="78"/>
    </row>
    <row r="58" spans="3:4" s="55" customFormat="1" ht="12.95" customHeight="1">
      <c r="C58" s="78"/>
      <c r="D58" s="78"/>
    </row>
    <row r="59" spans="3:4" s="55" customFormat="1" ht="12.95" customHeight="1">
      <c r="C59" s="78"/>
      <c r="D59" s="78"/>
    </row>
    <row r="60" spans="3:4" s="55" customFormat="1" ht="12.95" customHeight="1">
      <c r="C60" s="78"/>
      <c r="D60" s="78"/>
    </row>
    <row r="61" spans="3:4" s="55" customFormat="1" ht="12.95" customHeight="1">
      <c r="C61" s="78"/>
      <c r="D61" s="78"/>
    </row>
    <row r="62" spans="3:4" s="55" customFormat="1" ht="12.95" customHeight="1">
      <c r="C62" s="78"/>
      <c r="D62" s="78"/>
    </row>
    <row r="63" spans="3:4" s="55" customFormat="1" ht="12.95" customHeight="1">
      <c r="C63" s="78"/>
      <c r="D63" s="78"/>
    </row>
    <row r="64" spans="3:4" s="55" customFormat="1" ht="12.95" customHeight="1">
      <c r="C64" s="78"/>
      <c r="D64" s="78"/>
    </row>
    <row r="65" spans="3:4" s="55" customFormat="1" ht="12.95" customHeight="1">
      <c r="C65" s="78"/>
      <c r="D65" s="78"/>
    </row>
    <row r="66" spans="3:4" s="55" customFormat="1" ht="12.95" customHeight="1">
      <c r="C66" s="78"/>
      <c r="D66" s="78"/>
    </row>
    <row r="67" spans="3:4" s="55" customFormat="1" ht="12.95" customHeight="1">
      <c r="C67" s="78"/>
      <c r="D67" s="78"/>
    </row>
    <row r="68" spans="3:4" s="55" customFormat="1" ht="12.95" customHeight="1">
      <c r="C68" s="78"/>
      <c r="D68" s="78"/>
    </row>
    <row r="69" spans="3:4" s="55" customFormat="1" ht="12.95" customHeight="1">
      <c r="C69" s="78"/>
      <c r="D69" s="78"/>
    </row>
    <row r="70" spans="3:4" s="55" customFormat="1" ht="12.95" customHeight="1">
      <c r="C70" s="78"/>
      <c r="D70" s="78"/>
    </row>
    <row r="71" spans="3:4" s="55" customFormat="1" ht="12.95" customHeight="1">
      <c r="C71" s="78"/>
      <c r="D71" s="78"/>
    </row>
    <row r="72" spans="3:4" s="55" customFormat="1" ht="12.95" customHeight="1">
      <c r="C72" s="78"/>
      <c r="D72" s="78"/>
    </row>
    <row r="73" spans="3:4" s="55" customFormat="1" ht="12.95" customHeight="1">
      <c r="C73" s="78"/>
      <c r="D73" s="78"/>
    </row>
    <row r="74" spans="3:4" s="55" customFormat="1" ht="12.95" customHeight="1">
      <c r="C74" s="78"/>
      <c r="D74" s="78"/>
    </row>
    <row r="75" spans="3:4" s="55" customFormat="1" ht="12.95" customHeight="1">
      <c r="C75" s="78"/>
      <c r="D75" s="78"/>
    </row>
    <row r="76" spans="3:4" s="55" customFormat="1" ht="12.95" customHeight="1">
      <c r="C76" s="78"/>
      <c r="D76" s="78"/>
    </row>
    <row r="77" spans="3:4" s="55" customFormat="1" ht="12.95" customHeight="1">
      <c r="C77" s="78"/>
      <c r="D77" s="78"/>
    </row>
    <row r="78" spans="3:4" s="55" customFormat="1" ht="12.95" customHeight="1">
      <c r="C78" s="78"/>
      <c r="D78" s="78"/>
    </row>
    <row r="79" spans="3:4" s="55" customFormat="1" ht="12.95" customHeight="1">
      <c r="C79" s="78"/>
      <c r="D79" s="78"/>
    </row>
    <row r="80" spans="3:4" s="55" customFormat="1" ht="12.95" customHeight="1">
      <c r="C80" s="78"/>
      <c r="D80" s="78"/>
    </row>
    <row r="81" spans="3:4" s="55" customFormat="1" ht="12.95" customHeight="1">
      <c r="C81" s="78"/>
      <c r="D81" s="78"/>
    </row>
    <row r="82" spans="3:4" s="55" customFormat="1" ht="12.95" customHeight="1">
      <c r="C82" s="78"/>
      <c r="D82" s="78"/>
    </row>
    <row r="83" spans="3:4" s="55" customFormat="1" ht="12.95" customHeight="1">
      <c r="C83" s="78"/>
      <c r="D83" s="78"/>
    </row>
    <row r="84" spans="3:4" s="55" customFormat="1" ht="12.95" customHeight="1">
      <c r="C84" s="78"/>
      <c r="D84" s="78"/>
    </row>
    <row r="85" spans="3:4" s="55" customFormat="1" ht="12.95" customHeight="1">
      <c r="C85" s="78"/>
      <c r="D85" s="78"/>
    </row>
    <row r="86" spans="3:4" s="55" customFormat="1" ht="12.95" customHeight="1">
      <c r="C86" s="78"/>
      <c r="D86" s="78"/>
    </row>
    <row r="87" spans="3:4" s="55" customFormat="1" ht="12.95" customHeight="1">
      <c r="C87" s="78"/>
      <c r="D87" s="78"/>
    </row>
    <row r="88" spans="3:4" s="55" customFormat="1" ht="12.95" customHeight="1">
      <c r="C88" s="78"/>
      <c r="D88" s="78"/>
    </row>
    <row r="89" spans="3:4" s="55" customFormat="1" ht="12.95" customHeight="1">
      <c r="C89" s="78"/>
      <c r="D89" s="78"/>
    </row>
    <row r="90" spans="3:4" s="55" customFormat="1" ht="12.95" customHeight="1">
      <c r="C90" s="78"/>
      <c r="D90" s="78"/>
    </row>
    <row r="91" spans="3:4" s="55" customFormat="1" ht="12.95" customHeight="1">
      <c r="C91" s="78"/>
      <c r="D91" s="78"/>
    </row>
    <row r="92" spans="3:4" s="55" customFormat="1" ht="12.95" customHeight="1">
      <c r="C92" s="78"/>
      <c r="D92" s="78"/>
    </row>
    <row r="93" spans="3:4" s="55" customFormat="1" ht="12.95" customHeight="1">
      <c r="C93" s="78"/>
      <c r="D93" s="78"/>
    </row>
    <row r="94" spans="3:4" s="55" customFormat="1" ht="12.95" customHeight="1">
      <c r="C94" s="78"/>
      <c r="D94" s="78"/>
    </row>
    <row r="95" spans="3:4" s="55" customFormat="1" ht="12.95" customHeight="1">
      <c r="C95" s="78"/>
      <c r="D95" s="78"/>
    </row>
    <row r="96" spans="3:4" s="55" customFormat="1" ht="12.95" customHeight="1">
      <c r="C96" s="78"/>
      <c r="D96" s="78"/>
    </row>
    <row r="97" spans="3:4" s="55" customFormat="1" ht="12.95" customHeight="1">
      <c r="C97" s="78"/>
      <c r="D97" s="78"/>
    </row>
    <row r="98" spans="3:4" s="55" customFormat="1" ht="12.95" customHeight="1">
      <c r="C98" s="78"/>
      <c r="D98" s="78"/>
    </row>
    <row r="99" spans="3:4" s="55" customFormat="1" ht="12.95" customHeight="1">
      <c r="C99" s="78"/>
      <c r="D99" s="78"/>
    </row>
    <row r="100" spans="3:4" s="55" customFormat="1" ht="12.95" customHeight="1">
      <c r="C100" s="78"/>
      <c r="D100" s="78"/>
    </row>
    <row r="101" spans="3:4" s="55" customFormat="1" ht="12.95" customHeight="1">
      <c r="C101" s="78"/>
      <c r="D101" s="78"/>
    </row>
    <row r="102" spans="3:4" s="55" customFormat="1" ht="12.95" customHeight="1">
      <c r="C102" s="78"/>
      <c r="D102" s="78"/>
    </row>
    <row r="103" spans="3:4" s="55" customFormat="1" ht="12.95" customHeight="1">
      <c r="C103" s="78"/>
      <c r="D103" s="78"/>
    </row>
    <row r="104" spans="3:4" s="55" customFormat="1" ht="12.95" customHeight="1">
      <c r="C104" s="78"/>
      <c r="D104" s="78"/>
    </row>
    <row r="105" spans="3:4" s="55" customFormat="1" ht="12.95" customHeight="1">
      <c r="C105" s="78"/>
      <c r="D105" s="78"/>
    </row>
    <row r="106" spans="3:4" s="55" customFormat="1" ht="12.95" customHeight="1">
      <c r="C106" s="78"/>
      <c r="D106" s="78"/>
    </row>
    <row r="107" spans="3:4" s="55" customFormat="1" ht="12.95" customHeight="1">
      <c r="C107" s="78"/>
      <c r="D107" s="78"/>
    </row>
    <row r="108" spans="3:4" s="55" customFormat="1" ht="12.95" customHeight="1">
      <c r="C108" s="78"/>
      <c r="D108" s="78"/>
    </row>
    <row r="109" spans="3:4" s="55" customFormat="1" ht="12.95" customHeight="1">
      <c r="C109" s="78"/>
      <c r="D109" s="78"/>
    </row>
    <row r="110" spans="3:4" s="55" customFormat="1" ht="12.95" customHeight="1">
      <c r="C110" s="78"/>
      <c r="D110" s="78"/>
    </row>
    <row r="111" spans="3:4" s="55" customFormat="1" ht="12.95" customHeight="1">
      <c r="C111" s="78"/>
      <c r="D111" s="78"/>
    </row>
    <row r="112" spans="3:4" s="55" customFormat="1" ht="12.95" customHeight="1">
      <c r="C112" s="78"/>
      <c r="D112" s="78"/>
    </row>
    <row r="113" spans="3:4" s="55" customFormat="1" ht="12.95" customHeight="1">
      <c r="C113" s="78"/>
      <c r="D113" s="78"/>
    </row>
    <row r="114" spans="3:4" s="55" customFormat="1" ht="12.95" customHeight="1">
      <c r="C114" s="78"/>
      <c r="D114" s="78"/>
    </row>
    <row r="115" spans="3:4" s="55" customFormat="1" ht="12.95" customHeight="1">
      <c r="C115" s="78"/>
      <c r="D115" s="78"/>
    </row>
    <row r="116" spans="3:4" s="55" customFormat="1" ht="12.95" customHeight="1">
      <c r="C116" s="78"/>
      <c r="D116" s="78"/>
    </row>
    <row r="117" spans="3:4" s="55" customFormat="1" ht="12.95" customHeight="1">
      <c r="C117" s="78"/>
      <c r="D117" s="78"/>
    </row>
    <row r="118" spans="3:4" s="55" customFormat="1" ht="12.95" customHeight="1">
      <c r="C118" s="78"/>
      <c r="D118" s="78"/>
    </row>
    <row r="119" spans="3:4" s="55" customFormat="1" ht="12.95" customHeight="1">
      <c r="C119" s="78"/>
      <c r="D119" s="78"/>
    </row>
    <row r="120" spans="3:4" s="55" customFormat="1" ht="12.95" customHeight="1">
      <c r="C120" s="78"/>
      <c r="D120" s="78"/>
    </row>
    <row r="121" spans="3:4" s="55" customFormat="1" ht="12.95" customHeight="1">
      <c r="C121" s="78"/>
      <c r="D121" s="78"/>
    </row>
    <row r="122" spans="3:4" s="55" customFormat="1" ht="12.95" customHeight="1">
      <c r="C122" s="78"/>
      <c r="D122" s="78"/>
    </row>
    <row r="123" spans="3:4" s="55" customFormat="1" ht="12.95" customHeight="1">
      <c r="C123" s="78"/>
      <c r="D123" s="78"/>
    </row>
    <row r="124" spans="3:4" s="55" customFormat="1" ht="12.95" customHeight="1">
      <c r="C124" s="78"/>
      <c r="D124" s="78"/>
    </row>
    <row r="125" spans="3:4" s="55" customFormat="1" ht="12.95" customHeight="1">
      <c r="C125" s="78"/>
      <c r="D125" s="78"/>
    </row>
    <row r="126" spans="3:4" s="55" customFormat="1" ht="12.95" customHeight="1">
      <c r="C126" s="78"/>
      <c r="D126" s="78"/>
    </row>
    <row r="127" spans="3:4" s="55" customFormat="1" ht="12.95" customHeight="1">
      <c r="C127" s="78"/>
      <c r="D127" s="78"/>
    </row>
    <row r="128" spans="3:4" s="55" customFormat="1" ht="12.95" customHeight="1">
      <c r="C128" s="78"/>
      <c r="D128" s="78"/>
    </row>
    <row r="129" spans="3:4" s="55" customFormat="1" ht="12.95" customHeight="1">
      <c r="C129" s="78"/>
      <c r="D129" s="78"/>
    </row>
    <row r="130" spans="3:4" s="55" customFormat="1" ht="12.95" customHeight="1">
      <c r="C130" s="78"/>
      <c r="D130" s="78"/>
    </row>
    <row r="131" spans="3:4" s="55" customFormat="1" ht="12.95" customHeight="1">
      <c r="C131" s="78"/>
      <c r="D131" s="78"/>
    </row>
    <row r="132" spans="3:4" s="55" customFormat="1" ht="12.95" customHeight="1">
      <c r="C132" s="78"/>
      <c r="D132" s="78"/>
    </row>
    <row r="133" spans="3:4" s="55" customFormat="1" ht="12.95" customHeight="1">
      <c r="C133" s="78"/>
      <c r="D133" s="78"/>
    </row>
    <row r="134" spans="3:4" s="55" customFormat="1" ht="12.95" customHeight="1">
      <c r="C134" s="78"/>
      <c r="D134" s="78"/>
    </row>
    <row r="135" spans="3:4" s="55" customFormat="1" ht="12.95" customHeight="1">
      <c r="C135" s="78"/>
      <c r="D135" s="78"/>
    </row>
    <row r="136" spans="3:4" s="55" customFormat="1" ht="12.95" customHeight="1">
      <c r="C136" s="78"/>
      <c r="D136" s="78"/>
    </row>
    <row r="137" spans="3:4" s="55" customFormat="1" ht="12.95" customHeight="1">
      <c r="C137" s="78"/>
      <c r="D137" s="78"/>
    </row>
    <row r="138" spans="3:4" s="55" customFormat="1" ht="12.95" customHeight="1">
      <c r="C138" s="78"/>
      <c r="D138" s="78"/>
    </row>
    <row r="139" spans="3:4" s="55" customFormat="1" ht="12.95" customHeight="1">
      <c r="C139" s="78"/>
      <c r="D139" s="78"/>
    </row>
    <row r="140" spans="3:4" s="55" customFormat="1" ht="12.95" customHeight="1">
      <c r="C140" s="78"/>
      <c r="D140" s="78"/>
    </row>
    <row r="141" spans="3:4" s="55" customFormat="1" ht="12.95" customHeight="1">
      <c r="C141" s="78"/>
      <c r="D141" s="78"/>
    </row>
    <row r="142" spans="3:4" s="55" customFormat="1" ht="12.95" customHeight="1">
      <c r="C142" s="78"/>
      <c r="D142" s="78"/>
    </row>
    <row r="143" spans="3:4" s="55" customFormat="1" ht="12.95" customHeight="1">
      <c r="C143" s="78"/>
      <c r="D143" s="78"/>
    </row>
    <row r="144" spans="3:4" s="55" customFormat="1" ht="12.95" customHeight="1">
      <c r="C144" s="78"/>
      <c r="D144" s="78"/>
    </row>
    <row r="145" spans="3:4" s="55" customFormat="1" ht="12.95" customHeight="1">
      <c r="C145" s="78"/>
      <c r="D145" s="78"/>
    </row>
    <row r="146" spans="3:4" s="55" customFormat="1" ht="12.95" customHeight="1">
      <c r="C146" s="78"/>
      <c r="D146" s="78"/>
    </row>
    <row r="147" spans="3:4" s="55" customFormat="1" ht="12.95" customHeight="1">
      <c r="C147" s="78"/>
      <c r="D147" s="78"/>
    </row>
    <row r="148" spans="3:4" s="55" customFormat="1" ht="12.95" customHeight="1">
      <c r="C148" s="78"/>
      <c r="D148" s="78"/>
    </row>
    <row r="149" spans="3:4" s="55" customFormat="1" ht="12.95" customHeight="1">
      <c r="C149" s="78"/>
      <c r="D149" s="78"/>
    </row>
    <row r="150" spans="3:4" s="55" customFormat="1" ht="12.95" customHeight="1">
      <c r="C150" s="78"/>
      <c r="D150" s="78"/>
    </row>
    <row r="151" spans="3:4" s="55" customFormat="1" ht="12.95" customHeight="1">
      <c r="C151" s="78"/>
      <c r="D151" s="78"/>
    </row>
    <row r="152" spans="3:4" s="55" customFormat="1" ht="12.95" customHeight="1">
      <c r="C152" s="78"/>
      <c r="D152" s="78"/>
    </row>
    <row r="153" spans="3:4" s="55" customFormat="1" ht="12.95" customHeight="1">
      <c r="C153" s="78"/>
      <c r="D153" s="78"/>
    </row>
    <row r="154" spans="3:4" s="55" customFormat="1" ht="12.95" customHeight="1">
      <c r="C154" s="78"/>
      <c r="D154" s="78"/>
    </row>
    <row r="155" spans="3:4" s="55" customFormat="1" ht="12.95" customHeight="1">
      <c r="C155" s="78"/>
      <c r="D155" s="78"/>
    </row>
    <row r="156" spans="3:4" s="55" customFormat="1" ht="12.95" customHeight="1">
      <c r="C156" s="78"/>
      <c r="D156" s="78"/>
    </row>
    <row r="157" spans="3:4" s="55" customFormat="1" ht="12.95" customHeight="1">
      <c r="C157" s="78"/>
      <c r="D157" s="78"/>
    </row>
    <row r="158" spans="3:4" s="55" customFormat="1" ht="12.95" customHeight="1">
      <c r="C158" s="78"/>
      <c r="D158" s="78"/>
    </row>
    <row r="159" spans="3:4" s="55" customFormat="1" ht="12.95" customHeight="1">
      <c r="C159" s="78"/>
      <c r="D159" s="78"/>
    </row>
    <row r="160" spans="3:4" s="55" customFormat="1" ht="12.95" customHeight="1">
      <c r="C160" s="78"/>
      <c r="D160" s="78"/>
    </row>
    <row r="161" spans="3:4" s="55" customFormat="1" ht="12.95" customHeight="1">
      <c r="C161" s="78"/>
      <c r="D161" s="78"/>
    </row>
    <row r="162" spans="3:4" s="55" customFormat="1" ht="12.95" customHeight="1">
      <c r="C162" s="78"/>
      <c r="D162" s="78"/>
    </row>
    <row r="163" spans="3:4" s="55" customFormat="1" ht="12.95" customHeight="1">
      <c r="C163" s="78"/>
      <c r="D163" s="78"/>
    </row>
    <row r="164" spans="3:4" s="55" customFormat="1" ht="12.95" customHeight="1">
      <c r="C164" s="78"/>
      <c r="D164" s="78"/>
    </row>
    <row r="165" spans="3:4" s="55" customFormat="1" ht="12.95" customHeight="1">
      <c r="C165" s="78"/>
      <c r="D165" s="78"/>
    </row>
    <row r="166" spans="3:4" s="55" customFormat="1" ht="12.95" customHeight="1">
      <c r="C166" s="78"/>
      <c r="D166" s="78"/>
    </row>
    <row r="167" spans="3:4" s="55" customFormat="1" ht="12.95" customHeight="1">
      <c r="C167" s="78"/>
      <c r="D167" s="78"/>
    </row>
    <row r="168" spans="3:4" s="55" customFormat="1" ht="12.95" customHeight="1">
      <c r="C168" s="78"/>
      <c r="D168" s="78"/>
    </row>
    <row r="169" spans="3:4" s="55" customFormat="1" ht="12.95" customHeight="1">
      <c r="C169" s="78"/>
      <c r="D169" s="78"/>
    </row>
    <row r="170" spans="3:4" s="55" customFormat="1" ht="12.95" customHeight="1">
      <c r="C170" s="78"/>
      <c r="D170" s="78"/>
    </row>
    <row r="171" spans="3:4" s="55" customFormat="1" ht="12.95" customHeight="1">
      <c r="C171" s="78"/>
      <c r="D171" s="78"/>
    </row>
    <row r="172" spans="3:4" s="55" customFormat="1" ht="12.95" customHeight="1">
      <c r="C172" s="78"/>
      <c r="D172" s="78"/>
    </row>
    <row r="173" spans="3:4" s="55" customFormat="1" ht="12.95" customHeight="1">
      <c r="C173" s="78"/>
      <c r="D173" s="78"/>
    </row>
    <row r="174" spans="3:4" s="55" customFormat="1" ht="12.95" customHeight="1">
      <c r="C174" s="78"/>
      <c r="D174" s="78"/>
    </row>
    <row r="175" spans="3:4" s="55" customFormat="1" ht="12.95" customHeight="1">
      <c r="C175" s="78"/>
      <c r="D175" s="78"/>
    </row>
    <row r="176" spans="3:4" s="55" customFormat="1" ht="12.95" customHeight="1">
      <c r="C176" s="78"/>
      <c r="D176" s="78"/>
    </row>
    <row r="177" spans="3:4" s="55" customFormat="1" ht="12.95" customHeight="1">
      <c r="C177" s="78"/>
      <c r="D177" s="78"/>
    </row>
    <row r="178" spans="3:4" s="55" customFormat="1" ht="12.95" customHeight="1">
      <c r="C178" s="78"/>
      <c r="D178" s="78"/>
    </row>
    <row r="179" spans="3:4" s="55" customFormat="1" ht="12.95" customHeight="1">
      <c r="C179" s="78"/>
      <c r="D179" s="78"/>
    </row>
    <row r="180" spans="3:4" s="55" customFormat="1" ht="12.95" customHeight="1">
      <c r="C180" s="78"/>
      <c r="D180" s="78"/>
    </row>
    <row r="181" spans="3:4" s="55" customFormat="1" ht="12.95" customHeight="1">
      <c r="C181" s="78"/>
      <c r="D181" s="78"/>
    </row>
    <row r="182" spans="3:4" s="55" customFormat="1" ht="12.95" customHeight="1">
      <c r="C182" s="78"/>
      <c r="D182" s="78"/>
    </row>
    <row r="183" spans="3:4" s="55" customFormat="1" ht="12.95" customHeight="1">
      <c r="C183" s="78"/>
      <c r="D183" s="78"/>
    </row>
    <row r="184" spans="3:4" s="55" customFormat="1" ht="12.95" customHeight="1">
      <c r="C184" s="78"/>
      <c r="D184" s="78"/>
    </row>
    <row r="185" spans="3:4" s="55" customFormat="1" ht="12.95" customHeight="1">
      <c r="C185" s="78"/>
      <c r="D185" s="78"/>
    </row>
    <row r="186" spans="3:4" s="55" customFormat="1" ht="12.95" customHeight="1">
      <c r="C186" s="78"/>
      <c r="D186" s="78"/>
    </row>
    <row r="187" spans="3:4" s="55" customFormat="1" ht="12.95" customHeight="1">
      <c r="C187" s="78"/>
      <c r="D187" s="78"/>
    </row>
    <row r="188" spans="3:4" s="55" customFormat="1" ht="12.95" customHeight="1">
      <c r="C188" s="78"/>
      <c r="D188" s="78"/>
    </row>
    <row r="189" spans="3:4" s="55" customFormat="1" ht="12.95" customHeight="1">
      <c r="C189" s="78"/>
      <c r="D189" s="78"/>
    </row>
    <row r="190" spans="3:4" s="55" customFormat="1" ht="12.95" customHeight="1">
      <c r="C190" s="78"/>
      <c r="D190" s="78"/>
    </row>
    <row r="191" spans="3:4" s="55" customFormat="1" ht="12.95" customHeight="1">
      <c r="C191" s="78"/>
      <c r="D191" s="78"/>
    </row>
    <row r="192" spans="3:4" s="55" customFormat="1" ht="12.95" customHeight="1">
      <c r="C192" s="78"/>
      <c r="D192" s="78"/>
    </row>
    <row r="193" spans="3:4" s="55" customFormat="1" ht="12.95" customHeight="1">
      <c r="C193" s="78"/>
      <c r="D193" s="78"/>
    </row>
    <row r="194" spans="3:4" s="55" customFormat="1" ht="12.95" customHeight="1">
      <c r="C194" s="78"/>
      <c r="D194" s="78"/>
    </row>
    <row r="195" spans="3:4" s="55" customFormat="1" ht="12.95" customHeight="1">
      <c r="C195" s="78"/>
      <c r="D195" s="78"/>
    </row>
    <row r="196" spans="3:4" s="55" customFormat="1" ht="12.95" customHeight="1">
      <c r="C196" s="78"/>
      <c r="D196" s="78"/>
    </row>
    <row r="197" spans="3:4" s="55" customFormat="1" ht="12.95" customHeight="1">
      <c r="C197" s="78"/>
      <c r="D197" s="78"/>
    </row>
    <row r="198" spans="3:4" s="55" customFormat="1" ht="12.95" customHeight="1">
      <c r="C198" s="78"/>
      <c r="D198" s="78"/>
    </row>
    <row r="199" spans="3:4" s="55" customFormat="1" ht="12.95" customHeight="1">
      <c r="C199" s="78"/>
      <c r="D199" s="78"/>
    </row>
    <row r="200" spans="3:4" s="55" customFormat="1" ht="12.95" customHeight="1">
      <c r="C200" s="78"/>
      <c r="D200" s="78"/>
    </row>
    <row r="201" spans="3:4" s="55" customFormat="1" ht="12.95" customHeight="1">
      <c r="C201" s="78"/>
      <c r="D201" s="78"/>
    </row>
    <row r="202" spans="3:4" s="55" customFormat="1" ht="12.95" customHeight="1">
      <c r="C202" s="78"/>
      <c r="D202" s="78"/>
    </row>
    <row r="203" spans="3:4" s="55" customFormat="1" ht="12.95" customHeight="1">
      <c r="C203" s="78"/>
      <c r="D203" s="78"/>
    </row>
    <row r="204" spans="3:4" s="55" customFormat="1" ht="12.95" customHeight="1">
      <c r="C204" s="78"/>
      <c r="D204" s="78"/>
    </row>
    <row r="205" spans="3:4" s="55" customFormat="1" ht="12.95" customHeight="1">
      <c r="C205" s="78"/>
      <c r="D205" s="78"/>
    </row>
    <row r="206" spans="3:4" s="55" customFormat="1" ht="12.95" customHeight="1">
      <c r="C206" s="78"/>
      <c r="D206" s="78"/>
    </row>
    <row r="207" spans="3:4" s="55" customFormat="1" ht="12.95" customHeight="1">
      <c r="C207" s="78"/>
      <c r="D207" s="78"/>
    </row>
    <row r="208" spans="3:4" s="55" customFormat="1" ht="12.95" customHeight="1">
      <c r="C208" s="78"/>
      <c r="D208" s="78"/>
    </row>
    <row r="209" spans="3:4" s="55" customFormat="1" ht="12.95" customHeight="1">
      <c r="C209" s="78"/>
      <c r="D209" s="78"/>
    </row>
    <row r="210" spans="3:4" s="55" customFormat="1" ht="12.95" customHeight="1">
      <c r="C210" s="78"/>
      <c r="D210" s="78"/>
    </row>
    <row r="211" spans="3:4" s="55" customFormat="1" ht="12.95" customHeight="1">
      <c r="C211" s="78"/>
      <c r="D211" s="78"/>
    </row>
    <row r="212" spans="3:4" s="55" customFormat="1" ht="12.95" customHeight="1">
      <c r="C212" s="78"/>
      <c r="D212" s="78"/>
    </row>
    <row r="213" spans="3:4" s="55" customFormat="1" ht="12.95" customHeight="1">
      <c r="C213" s="78"/>
      <c r="D213" s="78"/>
    </row>
    <row r="214" spans="3:4" s="55" customFormat="1" ht="12.95" customHeight="1">
      <c r="C214" s="78"/>
      <c r="D214" s="78"/>
    </row>
    <row r="215" spans="3:4" s="55" customFormat="1" ht="12.95" customHeight="1">
      <c r="C215" s="78"/>
      <c r="D215" s="78"/>
    </row>
    <row r="216" spans="3:4" s="55" customFormat="1" ht="12.95" customHeight="1">
      <c r="C216" s="78"/>
      <c r="D216" s="78"/>
    </row>
    <row r="217" spans="3:4" s="55" customFormat="1" ht="12.95" customHeight="1">
      <c r="C217" s="78"/>
      <c r="D217" s="78"/>
    </row>
    <row r="218" spans="3:4" s="55" customFormat="1" ht="12.95" customHeight="1">
      <c r="C218" s="78"/>
      <c r="D218" s="78"/>
    </row>
    <row r="219" spans="3:4" s="55" customFormat="1" ht="12.95" customHeight="1">
      <c r="C219" s="78"/>
      <c r="D219" s="78"/>
    </row>
    <row r="220" spans="3:4" s="55" customFormat="1" ht="12.95" customHeight="1">
      <c r="C220" s="78"/>
      <c r="D220" s="78"/>
    </row>
    <row r="221" spans="3:4" s="55" customFormat="1" ht="12.95" customHeight="1">
      <c r="C221" s="78"/>
      <c r="D221" s="78"/>
    </row>
    <row r="222" spans="3:4" s="55" customFormat="1" ht="12.95" customHeight="1">
      <c r="C222" s="78"/>
      <c r="D222" s="78"/>
    </row>
    <row r="223" spans="3:4" s="55" customFormat="1" ht="12.95" customHeight="1">
      <c r="C223" s="78"/>
      <c r="D223" s="78"/>
    </row>
    <row r="224" spans="3:4" s="55" customFormat="1" ht="12.95" customHeight="1">
      <c r="C224" s="78"/>
      <c r="D224" s="78"/>
    </row>
    <row r="225" spans="3:4" s="55" customFormat="1" ht="12.95" customHeight="1">
      <c r="C225" s="78"/>
      <c r="D225" s="78"/>
    </row>
    <row r="226" spans="3:4" s="55" customFormat="1" ht="12.95" customHeight="1">
      <c r="C226" s="78"/>
      <c r="D226" s="78"/>
    </row>
    <row r="227" spans="3:4" s="55" customFormat="1" ht="12.95" customHeight="1">
      <c r="C227" s="78"/>
      <c r="D227" s="78"/>
    </row>
    <row r="228" spans="3:4" s="55" customFormat="1" ht="12.95" customHeight="1">
      <c r="C228" s="78"/>
      <c r="D228" s="78"/>
    </row>
    <row r="229" spans="3:4" s="55" customFormat="1" ht="12.95" customHeight="1">
      <c r="C229" s="78"/>
      <c r="D229" s="78"/>
    </row>
    <row r="230" spans="3:4" s="55" customFormat="1" ht="12.95" customHeight="1">
      <c r="C230" s="78"/>
      <c r="D230" s="78"/>
    </row>
    <row r="231" spans="3:4" s="55" customFormat="1" ht="12.95" customHeight="1">
      <c r="C231" s="78"/>
      <c r="D231" s="78"/>
    </row>
    <row r="232" spans="3:4" s="55" customFormat="1" ht="12.95" customHeight="1">
      <c r="C232" s="78"/>
      <c r="D232" s="78"/>
    </row>
    <row r="233" spans="3:4" s="55" customFormat="1" ht="12.95" customHeight="1">
      <c r="C233" s="78"/>
      <c r="D233" s="78"/>
    </row>
    <row r="234" spans="3:4" s="55" customFormat="1" ht="12.95" customHeight="1">
      <c r="C234" s="78"/>
      <c r="D234" s="78"/>
    </row>
    <row r="235" spans="3:4" s="55" customFormat="1" ht="12.95" customHeight="1">
      <c r="C235" s="78"/>
      <c r="D235" s="78"/>
    </row>
    <row r="236" spans="3:4" s="55" customFormat="1" ht="12.95" customHeight="1">
      <c r="C236" s="78"/>
      <c r="D236" s="78"/>
    </row>
    <row r="237" spans="3:4" s="55" customFormat="1" ht="12.95" customHeight="1">
      <c r="C237" s="78"/>
      <c r="D237" s="78"/>
    </row>
    <row r="238" spans="3:4" s="55" customFormat="1" ht="12.95" customHeight="1">
      <c r="C238" s="78"/>
      <c r="D238" s="78"/>
    </row>
    <row r="239" spans="3:4" s="55" customFormat="1" ht="12.95" customHeight="1">
      <c r="C239" s="78"/>
      <c r="D239" s="78"/>
    </row>
    <row r="240" spans="3:4" s="55" customFormat="1" ht="12.95" customHeight="1">
      <c r="C240" s="78"/>
      <c r="D240" s="78"/>
    </row>
    <row r="241" spans="3:4" s="55" customFormat="1" ht="12.95" customHeight="1">
      <c r="C241" s="78"/>
      <c r="D241" s="78"/>
    </row>
    <row r="242" spans="3:4" s="55" customFormat="1" ht="12.95" customHeight="1">
      <c r="C242" s="78"/>
      <c r="D242" s="78"/>
    </row>
    <row r="243" spans="3:4" s="55" customFormat="1" ht="12.95" customHeight="1">
      <c r="C243" s="78"/>
      <c r="D243" s="78"/>
    </row>
    <row r="244" spans="3:4" s="55" customFormat="1" ht="12.95" customHeight="1">
      <c r="C244" s="78"/>
      <c r="D244" s="78"/>
    </row>
    <row r="245" spans="3:4" s="55" customFormat="1" ht="12.95" customHeight="1">
      <c r="C245" s="78"/>
      <c r="D245" s="78"/>
    </row>
    <row r="246" spans="3:4" s="55" customFormat="1" ht="12.95" customHeight="1">
      <c r="C246" s="78"/>
      <c r="D246" s="78"/>
    </row>
    <row r="247" spans="3:4" s="55" customFormat="1" ht="12.95" customHeight="1">
      <c r="C247" s="78"/>
      <c r="D247" s="78"/>
    </row>
    <row r="248" spans="3:4" s="55" customFormat="1" ht="12.95" customHeight="1">
      <c r="C248" s="78"/>
      <c r="D248" s="78"/>
    </row>
    <row r="249" spans="3:4" s="55" customFormat="1" ht="12.95" customHeight="1">
      <c r="C249" s="78"/>
      <c r="D249" s="78"/>
    </row>
    <row r="250" spans="3:4" s="55" customFormat="1" ht="12.95" customHeight="1">
      <c r="C250" s="78"/>
      <c r="D250" s="78"/>
    </row>
    <row r="251" spans="3:4" s="55" customFormat="1" ht="12.95" customHeight="1">
      <c r="C251" s="78"/>
      <c r="D251" s="78"/>
    </row>
    <row r="252" spans="3:4" s="55" customFormat="1" ht="12.95" customHeight="1">
      <c r="C252" s="78"/>
      <c r="D252" s="78"/>
    </row>
    <row r="253" spans="3:4" s="55" customFormat="1" ht="12.95" customHeight="1">
      <c r="C253" s="78"/>
      <c r="D253" s="78"/>
    </row>
    <row r="254" spans="3:4" s="55" customFormat="1" ht="12.95" customHeight="1">
      <c r="C254" s="78"/>
      <c r="D254" s="78"/>
    </row>
    <row r="255" spans="3:4" s="55" customFormat="1" ht="12.95" customHeight="1">
      <c r="C255" s="78"/>
      <c r="D255" s="78"/>
    </row>
    <row r="256" spans="3:4" s="55" customFormat="1" ht="12.95" customHeight="1">
      <c r="C256" s="78"/>
      <c r="D256" s="78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</sheetData>
  <phoneticPr fontId="8" type="noConversion"/>
  <hyperlinks>
    <hyperlink ref="H2164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39"/>
  <sheetViews>
    <sheetView workbookViewId="0">
      <selection activeCell="B52" sqref="B52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40</v>
      </c>
    </row>
    <row r="2" spans="1:7">
      <c r="A2" t="s">
        <v>26</v>
      </c>
      <c r="B2" t="s">
        <v>44</v>
      </c>
      <c r="C2" s="3"/>
      <c r="D2" s="3"/>
    </row>
    <row r="3" spans="1:7" ht="13.5" thickBot="1"/>
    <row r="4" spans="1:7" ht="14.25" thickTop="1" thickBot="1">
      <c r="A4" s="5" t="s">
        <v>1</v>
      </c>
      <c r="C4" s="8">
        <v>52668.355600000003</v>
      </c>
      <c r="D4" s="9">
        <v>0.75985999999999998</v>
      </c>
    </row>
    <row r="6" spans="1:7">
      <c r="A6" s="5" t="s">
        <v>2</v>
      </c>
    </row>
    <row r="7" spans="1:7">
      <c r="A7" t="s">
        <v>3</v>
      </c>
      <c r="C7">
        <f>+C4</f>
        <v>52668.355600000003</v>
      </c>
    </row>
    <row r="8" spans="1:7">
      <c r="A8" t="s">
        <v>4</v>
      </c>
      <c r="C8">
        <f>+D4</f>
        <v>0.75985999999999998</v>
      </c>
    </row>
    <row r="9" spans="1:7">
      <c r="A9" s="11" t="s">
        <v>33</v>
      </c>
      <c r="B9" s="12"/>
      <c r="C9" s="13">
        <v>8</v>
      </c>
      <c r="D9" s="12" t="s">
        <v>34</v>
      </c>
      <c r="E9" s="12"/>
    </row>
    <row r="10" spans="1:7" ht="13.5" thickBot="1">
      <c r="A10" s="12"/>
      <c r="B10" s="12"/>
      <c r="C10" s="4" t="s">
        <v>22</v>
      </c>
      <c r="D10" s="4" t="s">
        <v>23</v>
      </c>
      <c r="E10" s="12"/>
    </row>
    <row r="11" spans="1:7">
      <c r="A11" s="12" t="s">
        <v>17</v>
      </c>
      <c r="B11" s="12"/>
      <c r="C11" s="24">
        <f ca="1">INTERCEPT(INDIRECT($G$11):G991,INDIRECT($F$11):F991)</f>
        <v>-2.0982116927129174E-3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18</v>
      </c>
      <c r="B12" s="12"/>
      <c r="C12" s="24">
        <f ca="1">SLOPE(INDIRECT($G$11):G991,INDIRECT($F$11):F991)</f>
        <v>-4.8936507227860151E-5</v>
      </c>
      <c r="D12" s="3"/>
      <c r="E12" s="12"/>
    </row>
    <row r="13" spans="1:7">
      <c r="A13" s="12" t="s">
        <v>21</v>
      </c>
      <c r="B13" s="12"/>
      <c r="C13" s="3" t="s">
        <v>15</v>
      </c>
      <c r="D13" s="16" t="s">
        <v>45</v>
      </c>
      <c r="E13" s="13">
        <v>1</v>
      </c>
    </row>
    <row r="14" spans="1:7">
      <c r="A14" s="12"/>
      <c r="B14" s="12"/>
      <c r="C14" s="12"/>
      <c r="D14" s="16" t="s">
        <v>35</v>
      </c>
      <c r="E14" s="17">
        <f ca="1">NOW()+15018.5+$C$9/24</f>
        <v>60314.529265740741</v>
      </c>
    </row>
    <row r="15" spans="1:7">
      <c r="A15" s="14" t="s">
        <v>19</v>
      </c>
      <c r="B15" s="12"/>
      <c r="C15" s="15">
        <f ca="1">(C7+C11)+(C8+C12)*INT(MAX(F21:F3532))</f>
        <v>56155.12647215664</v>
      </c>
      <c r="D15" s="16" t="s">
        <v>46</v>
      </c>
      <c r="E15" s="17">
        <f ca="1">ROUND(2*(E14-$C$7)/$C$8,0)/2+E13</f>
        <v>10063.5</v>
      </c>
    </row>
    <row r="16" spans="1:7">
      <c r="A16" s="18" t="s">
        <v>5</v>
      </c>
      <c r="B16" s="12"/>
      <c r="C16" s="19">
        <f ca="1">+C8+C12</f>
        <v>0.75981106349277217</v>
      </c>
      <c r="D16" s="16" t="s">
        <v>36</v>
      </c>
      <c r="E16" s="26">
        <f ca="1">ROUND(2*(E14-$C$15)/$C$16,0)/2+E13</f>
        <v>5475.5</v>
      </c>
    </row>
    <row r="17" spans="1:18" ht="13.5" thickBot="1">
      <c r="A17" s="16" t="s">
        <v>32</v>
      </c>
      <c r="B17" s="12"/>
      <c r="C17" s="12">
        <f>COUNT(C21:C2190)</f>
        <v>6</v>
      </c>
      <c r="D17" s="16" t="s">
        <v>37</v>
      </c>
      <c r="E17" s="20">
        <f ca="1">+$C$15+$C$16*E16-15018.5-$C$9/24</f>
        <v>45296.63861697798</v>
      </c>
    </row>
    <row r="18" spans="1:18" ht="14.25" thickTop="1" thickBot="1">
      <c r="A18" s="18" t="s">
        <v>6</v>
      </c>
      <c r="B18" s="12"/>
      <c r="C18" s="21">
        <f ca="1">+C15</f>
        <v>56155.12647215664</v>
      </c>
      <c r="D18" s="22">
        <f ca="1">+C16</f>
        <v>0.75981106349277217</v>
      </c>
      <c r="E18" s="23" t="s">
        <v>38</v>
      </c>
    </row>
    <row r="19" spans="1:18" ht="13.5" thickTop="1">
      <c r="A19" s="27" t="s">
        <v>39</v>
      </c>
      <c r="E19" s="28">
        <v>21</v>
      </c>
    </row>
    <row r="20" spans="1:18" ht="13.5" thickBot="1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13</v>
      </c>
      <c r="I20" s="7" t="s">
        <v>31</v>
      </c>
      <c r="J20" s="7" t="s">
        <v>20</v>
      </c>
      <c r="K20" s="7" t="s">
        <v>27</v>
      </c>
      <c r="L20" s="7" t="s">
        <v>28</v>
      </c>
      <c r="M20" s="7" t="s">
        <v>29</v>
      </c>
      <c r="N20" s="7" t="s">
        <v>30</v>
      </c>
      <c r="O20" s="7" t="s">
        <v>25</v>
      </c>
      <c r="P20" s="6" t="s">
        <v>24</v>
      </c>
      <c r="Q20" s="4" t="s">
        <v>16</v>
      </c>
    </row>
    <row r="21" spans="1:18">
      <c r="A21" t="s">
        <v>13</v>
      </c>
      <c r="C21" s="10">
        <v>52668.355600000003</v>
      </c>
      <c r="D21" s="10" t="s">
        <v>15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H21">
        <f>+G21</f>
        <v>0</v>
      </c>
      <c r="O21">
        <f t="shared" ref="O21:O26" ca="1" si="2">+C$11+C$12*$F21</f>
        <v>-2.0982116927129174E-3</v>
      </c>
      <c r="Q21" s="2">
        <f t="shared" ref="Q21:Q26" si="3">+C21-15018.5</f>
        <v>37649.855600000003</v>
      </c>
    </row>
    <row r="22" spans="1:18">
      <c r="A22" t="s">
        <v>43</v>
      </c>
      <c r="B22" s="3" t="s">
        <v>42</v>
      </c>
      <c r="C22" s="10">
        <v>52671.394500000002</v>
      </c>
      <c r="D22" s="29">
        <v>8.9999999999999998E-4</v>
      </c>
      <c r="E22" s="30">
        <f t="shared" si="0"/>
        <v>3.9992893427730869</v>
      </c>
      <c r="F22" s="30">
        <f>ROUND(2*E22,0)/2</f>
        <v>4</v>
      </c>
      <c r="G22">
        <f t="shared" si="1"/>
        <v>-5.4000000091036782E-4</v>
      </c>
      <c r="I22">
        <f>+G22</f>
        <v>-5.4000000091036782E-4</v>
      </c>
      <c r="O22">
        <f t="shared" ca="1" si="2"/>
        <v>-2.293957721624358E-3</v>
      </c>
      <c r="Q22" s="2">
        <f t="shared" si="3"/>
        <v>37652.894500000002</v>
      </c>
    </row>
    <row r="23" spans="1:18">
      <c r="A23" t="s">
        <v>43</v>
      </c>
      <c r="B23" s="3" t="s">
        <v>42</v>
      </c>
      <c r="C23" s="10">
        <v>52679.367100000003</v>
      </c>
      <c r="D23" s="29">
        <v>8.0000000000000004E-4</v>
      </c>
      <c r="E23" s="30">
        <f t="shared" si="0"/>
        <v>14.491485273603722</v>
      </c>
      <c r="F23" s="30">
        <f>ROUND(2*E23,0)/2</f>
        <v>14.5</v>
      </c>
      <c r="G23">
        <f t="shared" si="1"/>
        <v>-6.4700000002630986E-3</v>
      </c>
      <c r="I23">
        <f>+G23</f>
        <v>-6.4700000002630986E-3</v>
      </c>
      <c r="O23">
        <f t="shared" ca="1" si="2"/>
        <v>-2.8077910475168897E-3</v>
      </c>
      <c r="Q23" s="2">
        <f t="shared" si="3"/>
        <v>37660.867100000003</v>
      </c>
    </row>
    <row r="24" spans="1:18">
      <c r="A24" s="34" t="s">
        <v>41</v>
      </c>
      <c r="B24" s="35" t="s">
        <v>42</v>
      </c>
      <c r="C24" s="34">
        <v>55158.634899999997</v>
      </c>
      <c r="D24" s="36">
        <v>6.9999999999999999E-4</v>
      </c>
      <c r="E24" s="30">
        <f t="shared" si="0"/>
        <v>3277.2870002368791</v>
      </c>
      <c r="F24" s="30">
        <f>ROUND(2*E24,0)/2</f>
        <v>3277.5</v>
      </c>
      <c r="G24">
        <f t="shared" si="1"/>
        <v>-0.16185000000405125</v>
      </c>
      <c r="I24">
        <f>+G24</f>
        <v>-0.16185000000405125</v>
      </c>
      <c r="O24">
        <f t="shared" ca="1" si="2"/>
        <v>-0.16248761413202456</v>
      </c>
      <c r="Q24" s="2">
        <f t="shared" si="3"/>
        <v>40140.134899999997</v>
      </c>
      <c r="R24" t="str">
        <f>IF(ABS(C24-C23)&lt;0.00001,1,"")</f>
        <v/>
      </c>
    </row>
    <row r="25" spans="1:18">
      <c r="A25" s="37" t="s">
        <v>47</v>
      </c>
      <c r="B25" s="38" t="s">
        <v>42</v>
      </c>
      <c r="C25" s="39">
        <v>55517.642899999999</v>
      </c>
      <c r="D25" s="39">
        <v>2.0000000000000001E-4</v>
      </c>
      <c r="E25" s="30">
        <f t="shared" si="0"/>
        <v>3749.7529808122504</v>
      </c>
      <c r="F25" s="30">
        <f>ROUND(2*E25,0)/2</f>
        <v>3750</v>
      </c>
      <c r="G25">
        <f t="shared" si="1"/>
        <v>-0.18770000000222353</v>
      </c>
      <c r="I25">
        <f>+G25</f>
        <v>-0.18770000000222353</v>
      </c>
      <c r="O25">
        <f t="shared" ca="1" si="2"/>
        <v>-0.1856101137971885</v>
      </c>
      <c r="Q25" s="2">
        <f t="shared" si="3"/>
        <v>40499.142899999999</v>
      </c>
    </row>
    <row r="26" spans="1:18">
      <c r="A26" s="31" t="s">
        <v>48</v>
      </c>
      <c r="B26" s="32" t="s">
        <v>49</v>
      </c>
      <c r="C26" s="33">
        <v>56155.507640000003</v>
      </c>
      <c r="D26" s="33">
        <v>2.9999999999999997E-4</v>
      </c>
      <c r="E26" s="30">
        <f t="shared" si="0"/>
        <v>4589.2033269286458</v>
      </c>
      <c r="F26" s="40">
        <f>ROUND(2*E26,0)/2+0.5</f>
        <v>4589.5</v>
      </c>
      <c r="G26">
        <f t="shared" si="1"/>
        <v>-0.22542999999859603</v>
      </c>
      <c r="I26">
        <f>+G26</f>
        <v>-0.22542999999859603</v>
      </c>
      <c r="O26">
        <f t="shared" ca="1" si="2"/>
        <v>-0.2266923116149771</v>
      </c>
      <c r="Q26" s="2">
        <f t="shared" si="3"/>
        <v>41137.007640000003</v>
      </c>
    </row>
    <row r="27" spans="1:18">
      <c r="C27" s="10"/>
      <c r="D27" s="29"/>
      <c r="E27" s="30"/>
      <c r="F27" s="30"/>
      <c r="Q27" s="2"/>
    </row>
    <row r="28" spans="1:18">
      <c r="C28" s="10"/>
      <c r="D28" s="10"/>
      <c r="Q28" s="2"/>
    </row>
    <row r="29" spans="1:18">
      <c r="C29" s="10"/>
      <c r="D29" s="10"/>
      <c r="Q29" s="2"/>
    </row>
    <row r="30" spans="1:18">
      <c r="C30" s="10"/>
      <c r="D30" s="10"/>
      <c r="Q30" s="2"/>
    </row>
    <row r="31" spans="1:18">
      <c r="C31" s="10"/>
      <c r="D31" s="10"/>
      <c r="Q31" s="2"/>
    </row>
    <row r="32" spans="1:18">
      <c r="C32" s="10"/>
      <c r="D32" s="10"/>
      <c r="Q32" s="2"/>
    </row>
    <row r="33" spans="3:4">
      <c r="C33" s="10"/>
      <c r="D33" s="10"/>
    </row>
    <row r="34" spans="3:4">
      <c r="C34" s="10"/>
      <c r="D34" s="10"/>
    </row>
    <row r="35" spans="3:4">
      <c r="C35" s="10"/>
      <c r="D35" s="10"/>
    </row>
    <row r="36" spans="3:4">
      <c r="C36" s="10"/>
      <c r="D36" s="10"/>
    </row>
    <row r="37" spans="3:4">
      <c r="C37" s="10"/>
      <c r="D37" s="10"/>
    </row>
    <row r="38" spans="3:4">
      <c r="C38" s="10"/>
      <c r="D38" s="10"/>
    </row>
    <row r="39" spans="3:4">
      <c r="C39" s="10"/>
      <c r="D39" s="10"/>
    </row>
    <row r="40" spans="3:4">
      <c r="C40" s="10"/>
      <c r="D40" s="10"/>
    </row>
    <row r="41" spans="3:4">
      <c r="C41" s="10"/>
      <c r="D41" s="10"/>
    </row>
    <row r="42" spans="3:4">
      <c r="C42" s="10"/>
      <c r="D42" s="10"/>
    </row>
    <row r="43" spans="3:4">
      <c r="C43" s="10"/>
      <c r="D43" s="10"/>
    </row>
    <row r="44" spans="3:4">
      <c r="C44" s="10"/>
      <c r="D44" s="10"/>
    </row>
    <row r="45" spans="3:4">
      <c r="C45" s="10"/>
      <c r="D45" s="10"/>
    </row>
    <row r="46" spans="3:4">
      <c r="C46" s="10"/>
      <c r="D46" s="10"/>
    </row>
    <row r="47" spans="3:4">
      <c r="C47" s="10"/>
      <c r="D47" s="10"/>
    </row>
    <row r="48" spans="3:4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06"/>
  <sheetViews>
    <sheetView workbookViewId="0">
      <selection activeCell="A11" sqref="A11:IV448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1" t="s">
        <v>52</v>
      </c>
      <c r="I1" s="42" t="s">
        <v>53</v>
      </c>
      <c r="J1" s="43" t="s">
        <v>54</v>
      </c>
    </row>
    <row r="2" spans="1:16">
      <c r="I2" s="44" t="s">
        <v>55</v>
      </c>
      <c r="J2" s="45" t="s">
        <v>56</v>
      </c>
    </row>
    <row r="3" spans="1:16">
      <c r="A3" s="46" t="s">
        <v>57</v>
      </c>
      <c r="I3" s="44" t="s">
        <v>58</v>
      </c>
      <c r="J3" s="45" t="s">
        <v>59</v>
      </c>
    </row>
    <row r="4" spans="1:16">
      <c r="I4" s="44" t="s">
        <v>60</v>
      </c>
      <c r="J4" s="45" t="s">
        <v>59</v>
      </c>
    </row>
    <row r="5" spans="1:16" ht="13.5" thickBot="1">
      <c r="I5" s="47" t="s">
        <v>61</v>
      </c>
      <c r="J5" s="48" t="s">
        <v>62</v>
      </c>
    </row>
    <row r="10" spans="1:16" ht="13.5" thickBot="1"/>
    <row r="11" spans="1:16" ht="12.75" customHeight="1" thickBot="1">
      <c r="A11" s="10" t="str">
        <f>P11</f>
        <v>IBVS 5920 </v>
      </c>
      <c r="B11" s="3" t="str">
        <f>IF(H11=INT(H11),"I","II")</f>
        <v>I</v>
      </c>
      <c r="C11" s="10">
        <f>1*G11</f>
        <v>55158.634899999997</v>
      </c>
      <c r="D11" s="12" t="str">
        <f>VLOOKUP(F11,I$1:J$5,2,FALSE)</f>
        <v>vis</v>
      </c>
      <c r="E11" s="49">
        <f>VLOOKUP(C11,Active!C$21:E$973,3,FALSE)</f>
        <v>-1311.4991608254234</v>
      </c>
      <c r="F11" s="3" t="s">
        <v>61</v>
      </c>
      <c r="G11" s="12" t="str">
        <f>MID(I11,3,LEN(I11)-3)</f>
        <v>55158.6349</v>
      </c>
      <c r="H11" s="10">
        <f>1*K11</f>
        <v>3277</v>
      </c>
      <c r="I11" s="50" t="s">
        <v>63</v>
      </c>
      <c r="J11" s="51" t="s">
        <v>64</v>
      </c>
      <c r="K11" s="50">
        <v>3277</v>
      </c>
      <c r="L11" s="50" t="s">
        <v>65</v>
      </c>
      <c r="M11" s="51" t="s">
        <v>66</v>
      </c>
      <c r="N11" s="51" t="s">
        <v>61</v>
      </c>
      <c r="O11" s="52" t="s">
        <v>67</v>
      </c>
      <c r="P11" s="53" t="s">
        <v>68</v>
      </c>
    </row>
    <row r="12" spans="1:16" ht="12.75" customHeight="1" thickBot="1">
      <c r="A12" s="10" t="str">
        <f>P12</f>
        <v>BAVM 215 </v>
      </c>
      <c r="B12" s="3" t="str">
        <f>IF(H12=INT(H12),"I","II")</f>
        <v>I</v>
      </c>
      <c r="C12" s="10">
        <f>1*G12</f>
        <v>55473.574000000001</v>
      </c>
      <c r="D12" s="12" t="str">
        <f>VLOOKUP(F12,I$1:J$5,2,FALSE)</f>
        <v>vis</v>
      </c>
      <c r="E12" s="49">
        <f>VLOOKUP(C12,Active!C$21:E$973,3,FALSE)</f>
        <v>-897.00256406324786</v>
      </c>
      <c r="F12" s="3" t="s">
        <v>61</v>
      </c>
      <c r="G12" s="12" t="str">
        <f>MID(I12,3,LEN(I12)-3)</f>
        <v>55473.5740</v>
      </c>
      <c r="H12" s="10">
        <f>1*K12</f>
        <v>3692</v>
      </c>
      <c r="I12" s="50" t="s">
        <v>69</v>
      </c>
      <c r="J12" s="51" t="s">
        <v>70</v>
      </c>
      <c r="K12" s="50">
        <v>3692</v>
      </c>
      <c r="L12" s="50" t="s">
        <v>71</v>
      </c>
      <c r="M12" s="51" t="s">
        <v>66</v>
      </c>
      <c r="N12" s="51" t="s">
        <v>72</v>
      </c>
      <c r="O12" s="52" t="s">
        <v>73</v>
      </c>
      <c r="P12" s="53" t="s">
        <v>74</v>
      </c>
    </row>
    <row r="13" spans="1:16" ht="12.75" customHeight="1" thickBot="1">
      <c r="A13" s="10" t="str">
        <f>P13</f>
        <v>IBVS 5960 </v>
      </c>
      <c r="B13" s="3" t="str">
        <f>IF(H13=INT(H13),"I","II")</f>
        <v>I</v>
      </c>
      <c r="C13" s="10">
        <f>1*G13</f>
        <v>55517.642899999999</v>
      </c>
      <c r="D13" s="12" t="str">
        <f>VLOOKUP(F13,I$1:J$5,2,FALSE)</f>
        <v>vis</v>
      </c>
      <c r="E13" s="49">
        <f>VLOOKUP(C13,Active!C$21:E$973,3,FALSE)</f>
        <v>-839.00275053405517</v>
      </c>
      <c r="F13" s="3" t="s">
        <v>61</v>
      </c>
      <c r="G13" s="12" t="str">
        <f>MID(I13,3,LEN(I13)-3)</f>
        <v>55517.6429</v>
      </c>
      <c r="H13" s="10">
        <f>1*K13</f>
        <v>3750</v>
      </c>
      <c r="I13" s="50" t="s">
        <v>75</v>
      </c>
      <c r="J13" s="51" t="s">
        <v>76</v>
      </c>
      <c r="K13" s="50" t="s">
        <v>77</v>
      </c>
      <c r="L13" s="50" t="s">
        <v>78</v>
      </c>
      <c r="M13" s="51" t="s">
        <v>66</v>
      </c>
      <c r="N13" s="51" t="s">
        <v>61</v>
      </c>
      <c r="O13" s="52" t="s">
        <v>67</v>
      </c>
      <c r="P13" s="53" t="s">
        <v>79</v>
      </c>
    </row>
    <row r="14" spans="1:16" ht="12.75" customHeight="1" thickBot="1">
      <c r="A14" s="10" t="str">
        <f>P14</f>
        <v>OEJV 0160 </v>
      </c>
      <c r="B14" s="3" t="str">
        <f>IF(H14=INT(H14),"I","II")</f>
        <v>I</v>
      </c>
      <c r="C14" s="10">
        <f>1*G14</f>
        <v>56155.507640000003</v>
      </c>
      <c r="D14" s="12" t="str">
        <f>VLOOKUP(F14,I$1:J$5,2,FALSE)</f>
        <v>vis</v>
      </c>
      <c r="E14" s="49">
        <f>VLOOKUP(C14,Active!C$21:E$973,3,FALSE)</f>
        <v>0.50166134935030349</v>
      </c>
      <c r="F14" s="3" t="s">
        <v>61</v>
      </c>
      <c r="G14" s="12" t="str">
        <f>MID(I14,3,LEN(I14)-3)</f>
        <v>56155.50764</v>
      </c>
      <c r="H14" s="10">
        <f>1*K14</f>
        <v>4589</v>
      </c>
      <c r="I14" s="50" t="s">
        <v>80</v>
      </c>
      <c r="J14" s="51" t="s">
        <v>81</v>
      </c>
      <c r="K14" s="50" t="s">
        <v>82</v>
      </c>
      <c r="L14" s="50" t="s">
        <v>83</v>
      </c>
      <c r="M14" s="51" t="s">
        <v>66</v>
      </c>
      <c r="N14" s="51" t="s">
        <v>53</v>
      </c>
      <c r="O14" s="52" t="s">
        <v>84</v>
      </c>
      <c r="P14" s="53" t="s">
        <v>85</v>
      </c>
    </row>
    <row r="15" spans="1:16">
      <c r="B15" s="3"/>
      <c r="E15" s="49"/>
      <c r="F15" s="3"/>
    </row>
    <row r="16" spans="1:16">
      <c r="B16" s="3"/>
      <c r="E16" s="49"/>
      <c r="F16" s="3"/>
    </row>
    <row r="17" spans="2:6">
      <c r="B17" s="3"/>
      <c r="E17" s="49"/>
      <c r="F17" s="3"/>
    </row>
    <row r="18" spans="2:6">
      <c r="B18" s="3"/>
      <c r="E18" s="49"/>
      <c r="F18" s="3"/>
    </row>
    <row r="19" spans="2:6">
      <c r="B19" s="3"/>
      <c r="F19" s="3"/>
    </row>
    <row r="20" spans="2:6">
      <c r="B20" s="3"/>
      <c r="F20" s="3"/>
    </row>
    <row r="21" spans="2:6">
      <c r="B21" s="3"/>
      <c r="F21" s="3"/>
    </row>
    <row r="22" spans="2:6">
      <c r="B22" s="3"/>
      <c r="F22" s="3"/>
    </row>
    <row r="23" spans="2:6">
      <c r="B23" s="3"/>
      <c r="F23" s="3"/>
    </row>
    <row r="24" spans="2:6">
      <c r="B24" s="3"/>
      <c r="F24" s="3"/>
    </row>
    <row r="25" spans="2:6">
      <c r="B25" s="3"/>
      <c r="F25" s="3"/>
    </row>
    <row r="26" spans="2:6">
      <c r="B26" s="3"/>
      <c r="F26" s="3"/>
    </row>
    <row r="27" spans="2:6">
      <c r="B27" s="3"/>
      <c r="F27" s="3"/>
    </row>
    <row r="28" spans="2:6">
      <c r="B28" s="3"/>
      <c r="F28" s="3"/>
    </row>
    <row r="29" spans="2:6">
      <c r="B29" s="3"/>
      <c r="F29" s="3"/>
    </row>
    <row r="30" spans="2:6">
      <c r="B30" s="3"/>
      <c r="F30" s="3"/>
    </row>
    <row r="31" spans="2:6">
      <c r="B31" s="3"/>
      <c r="F31" s="3"/>
    </row>
    <row r="32" spans="2: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</sheetData>
  <phoneticPr fontId="8" type="noConversion"/>
  <hyperlinks>
    <hyperlink ref="P11" r:id="rId1" display="http://www.konkoly.hu/cgi-bin/IBVS?5920" xr:uid="{00000000-0004-0000-0200-000000000000}"/>
    <hyperlink ref="P12" r:id="rId2" display="http://www.bav-astro.de/sfs/BAVM_link.php?BAVMnr=215" xr:uid="{00000000-0004-0000-0200-000001000000}"/>
    <hyperlink ref="P13" r:id="rId3" display="http://www.konkoly.hu/cgi-bin/IBVS?5960" xr:uid="{00000000-0004-0000-0200-000002000000}"/>
    <hyperlink ref="P14" r:id="rId4" display="http://var.astro.cz/oejv/issues/oejv0160.pdf" xr:uid="{00000000-0004-0000-0200-00000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2024-01-04T06:12:08Z</dcterms:modified>
</cp:coreProperties>
</file>