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1F43424-72A9-49FB-B368-9E4CDDE7EAD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1" i="1" l="1"/>
  <c r="Q30" i="1"/>
  <c r="D9" i="1"/>
  <c r="C9" i="1"/>
  <c r="Q25" i="1"/>
  <c r="Q27" i="1"/>
  <c r="Q28" i="1"/>
  <c r="G14" i="2"/>
  <c r="C14" i="2"/>
  <c r="E14" i="2"/>
  <c r="G17" i="2"/>
  <c r="C17" i="2"/>
  <c r="G16" i="2"/>
  <c r="C16" i="2"/>
  <c r="E16" i="2"/>
  <c r="G13" i="2"/>
  <c r="C13" i="2"/>
  <c r="E13" i="2"/>
  <c r="G15" i="2"/>
  <c r="C15" i="2"/>
  <c r="E15" i="2"/>
  <c r="G12" i="2"/>
  <c r="C12" i="2"/>
  <c r="G11" i="2"/>
  <c r="C11" i="2"/>
  <c r="E11" i="2"/>
  <c r="H14" i="2"/>
  <c r="B14" i="2"/>
  <c r="D14" i="2"/>
  <c r="A14" i="2"/>
  <c r="H17" i="2"/>
  <c r="B17" i="2"/>
  <c r="D17" i="2"/>
  <c r="A17" i="2"/>
  <c r="H16" i="2"/>
  <c r="B16" i="2"/>
  <c r="D16" i="2"/>
  <c r="A16" i="2"/>
  <c r="H13" i="2"/>
  <c r="B13" i="2"/>
  <c r="D13" i="2"/>
  <c r="A13" i="2"/>
  <c r="H15" i="2"/>
  <c r="B15" i="2"/>
  <c r="D15" i="2"/>
  <c r="A15" i="2"/>
  <c r="H12" i="2"/>
  <c r="B12" i="2"/>
  <c r="D12" i="2"/>
  <c r="A12" i="2"/>
  <c r="H11" i="2"/>
  <c r="B11" i="2"/>
  <c r="D11" i="2"/>
  <c r="A11" i="2"/>
  <c r="Q26" i="1"/>
  <c r="C7" i="1"/>
  <c r="E31" i="1"/>
  <c r="F31" i="1"/>
  <c r="C8" i="1"/>
  <c r="Q29" i="1"/>
  <c r="Q23" i="1"/>
  <c r="Q24" i="1"/>
  <c r="F16" i="1"/>
  <c r="C17" i="1"/>
  <c r="Q22" i="1"/>
  <c r="Q21" i="1"/>
  <c r="E21" i="1"/>
  <c r="F21" i="1"/>
  <c r="G21" i="1"/>
  <c r="I21" i="1"/>
  <c r="E27" i="1"/>
  <c r="F27" i="1"/>
  <c r="G27" i="1"/>
  <c r="K27" i="1"/>
  <c r="E25" i="1"/>
  <c r="F25" i="1"/>
  <c r="G25" i="1"/>
  <c r="I25" i="1"/>
  <c r="E24" i="1"/>
  <c r="F24" i="1"/>
  <c r="G24" i="1"/>
  <c r="K24" i="1"/>
  <c r="E29" i="1"/>
  <c r="F29" i="1"/>
  <c r="G29" i="1"/>
  <c r="K29" i="1"/>
  <c r="E30" i="1"/>
  <c r="F30" i="1"/>
  <c r="G30" i="1"/>
  <c r="K30" i="1"/>
  <c r="E26" i="1"/>
  <c r="F26" i="1"/>
  <c r="G26" i="1"/>
  <c r="J26" i="1"/>
  <c r="E22" i="1"/>
  <c r="F22" i="1"/>
  <c r="G22" i="1"/>
  <c r="I22" i="1"/>
  <c r="E17" i="2"/>
  <c r="E12" i="2"/>
  <c r="E23" i="1"/>
  <c r="F23" i="1"/>
  <c r="G23" i="1"/>
  <c r="E28" i="1"/>
  <c r="F28" i="1"/>
  <c r="G28" i="1"/>
  <c r="K28" i="1"/>
  <c r="G31" i="1"/>
  <c r="K31" i="1"/>
  <c r="K23" i="1"/>
  <c r="C12" i="1"/>
  <c r="C11" i="1"/>
  <c r="O28" i="1" l="1"/>
  <c r="O25" i="1"/>
  <c r="O30" i="1"/>
  <c r="O24" i="1"/>
  <c r="O26" i="1"/>
  <c r="O23" i="1"/>
  <c r="C15" i="1"/>
  <c r="F18" i="1" s="1"/>
  <c r="O29" i="1"/>
  <c r="O22" i="1"/>
  <c r="O21" i="1"/>
  <c r="O31" i="1"/>
  <c r="O27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<sst xmlns="http://schemas.openxmlformats.org/spreadsheetml/2006/main" count="142" uniqueCount="99">
  <si>
    <t>IBVS 6196</t>
  </si>
  <si>
    <t>0.0065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</si>
  <si>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</si>
  <si>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</si>
  <si>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</si>
  <si>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</si>
  <si>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</si>
  <si>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</si>
  <si>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</si>
  <si>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</si>
  <si>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</si>
  <si>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</si>
  <si>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</si>
  <si>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</si>
  <si>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</si>
  <si>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</si>
  <si>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</si>
  <si>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</si>
  <si>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</si>
  <si>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</si>
  <si>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</si>
  <si>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</si>
  <si>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</si>
  <si>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</si>
  <si>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</si>
  <si>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</si>
  <si>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</si>
  <si>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</si>
  <si>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</si>
  <si>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</si>
  <si>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</si>
  <si>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</si>
  <si>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</si>
  <si>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</si>
  <si>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</si>
  <si>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Cas</t>
  </si>
  <si>
    <t>EB</t>
  </si>
  <si>
    <t>IBVS 5686 Eph.</t>
  </si>
  <si>
    <t>IBVS 5686</t>
  </si>
  <si>
    <t>G4021-1459_Cas.xls</t>
  </si>
  <si>
    <t>IBVS 5586 Eph.</t>
  </si>
  <si>
    <t>IBVS 5586</t>
  </si>
  <si>
    <t>V1011 Cas / GSC 4021-1459</t>
  </si>
  <si>
    <t>IBVS 5966</t>
  </si>
  <si>
    <t>Add cycle</t>
  </si>
  <si>
    <t>Old Cycle</t>
  </si>
  <si>
    <t>OEJV 0137</t>
  </si>
  <si>
    <t>I</t>
  </si>
  <si>
    <t>IBVS 6011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</si>
  <si>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</si>
  <si>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</si>
  <si>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</si>
  <si>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</si>
  <si>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</si>
  <si>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</si>
  <si>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</si>
  <si>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</si>
  <si>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</si>
  <si>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</si>
  <si>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</si>
  <si>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</si>
  <si>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2455171.588 </t>
  </si>
  <si>
    <t> 06.12.2009 02:06 </t>
  </si>
  <si>
    <t> 0.011 </t>
  </si>
  <si>
    <t>C </t>
  </si>
  <si>
    <t> R.Nelson </t>
  </si>
  <si>
    <t>IBVS 5929 </t>
  </si>
  <si>
    <t>2455438.3845 </t>
  </si>
  <si>
    <t> 29.08.2010 21:13 </t>
  </si>
  <si>
    <t> 0.0382 </t>
  </si>
  <si>
    <t> G.Corfini </t>
  </si>
  <si>
    <t>OEJV 0137 </t>
  </si>
  <si>
    <t>2455505.4200 </t>
  </si>
  <si>
    <t> 04.11.2010 22:04 </t>
  </si>
  <si>
    <t> 0.0428 </t>
  </si>
  <si>
    <t>2455514.5653 </t>
  </si>
  <si>
    <t> 14.11.2010 01:34 </t>
  </si>
  <si>
    <t> 0.0475 </t>
  </si>
  <si>
    <t>-I</t>
  </si>
  <si>
    <t> F.Agerer </t>
  </si>
  <si>
    <t>BAVM 215 </t>
  </si>
  <si>
    <t>2455808.4448 </t>
  </si>
  <si>
    <t> 03.09.2011 22:40 </t>
  </si>
  <si>
    <t>6487.5</t>
  </si>
  <si>
    <t> 0.0743 </t>
  </si>
  <si>
    <t>BAVM 225 </t>
  </si>
  <si>
    <t>2455858.5540 </t>
  </si>
  <si>
    <t> 24.10.2011 01:17 </t>
  </si>
  <si>
    <t>6561.5</t>
  </si>
  <si>
    <t> 0.0796 </t>
  </si>
  <si>
    <t>2455888.6865 </t>
  </si>
  <si>
    <t> 23.11.2011 04:28 </t>
  </si>
  <si>
    <t>6606</t>
  </si>
  <si>
    <t> 0.0820 </t>
  </si>
  <si>
    <t>ns</t>
  </si>
  <si>
    <t> R.Diethelm </t>
  </si>
  <si>
    <t>IBVS 6011 </t>
  </si>
  <si>
    <t>II</t>
  </si>
  <si>
    <t>JAVSO..46…79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</si>
</sst>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4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1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24" borderId="11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5" xfId="0" applyFill="1" applyBorder="1" applyAlignment="1">
      <alignment vertical="center"/>
    </xf>
    <xf numFmtId="0" fontId="17" fillId="25" borderId="0" xfId="0" applyFont="1" applyFill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0" borderId="0" xfId="0" applyFont="1">
      <alignment vertical="top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6" borderId="18" xfId="0" applyFont="1" applyFill="1" applyBorder="1" applyAlignment="1">
      <alignment horizontal="left" vertical="top" wrapText="1" indent="1"/>
    </xf>
    <xf numFmtId="0" fontId="5" fillId="26" borderId="18" xfId="0" applyFont="1" applyFill="1" applyBorder="1" applyAlignment="1">
      <alignment horizontal="center" vertical="top" wrapText="1"/>
    </xf>
    <xf numFmtId="0" fontId="5" fillId="26" borderId="18" xfId="0" applyFont="1" applyFill="1" applyBorder="1" applyAlignment="1">
      <alignment horizontal="right" vertical="top" wrapText="1"/>
    </xf>
    <xf numFmtId="0" fontId="19" fillId="26" borderId="18" xfId="38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>
      <alignment vertical="top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8" fillId="25" borderId="0" xfId="0" applyFont="1" applyFill="1" applyAlignment="1"/>
    <xf numFmtId="0" fontId="38" fillId="0" borderId="0" xfId="42" applyFont="1" applyAlignment="1">
      <alignment wrapText="1"/>
    </xf>
    <xf numFmtId="0" fontId="38" fillId="0" borderId="0" xfId="42" applyFont="1" applyAlignment="1">
      <alignment horizontal="center" wrapText="1"/>
    </xf>
    <xf numFmtId="0" fontId="38" fillId="0" borderId="0" xfId="42" applyFont="1" applyAlignment="1">
      <alignment horizontal="left" wrapText="1"/>
    </xf>
    <xf numFmtId="0" fontId="39" fillId="0" borderId="0" xfId="42" applyFont="1" applyAlignment="1">
      <alignment horizontal="left" vertical="center"/>
    </xf>
    <xf numFmtId="0" fontId="39" fillId="0" borderId="0" xfId="42" applyFont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V1011 Cas - O-C Diagr.</a:t>
            </a:r>
          </a:p>
        </c:rich>
      </c:tx>
      <c:layout>
        <c:manualLayout>
          <c:xMode val="edge"/>
          <c:yMode val="edge"/>
          <c:x val="0.34135338345864663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634168126798494"/>
          <c:w val="0.82857142857142863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5.4999999999999997E-3</c:v>
                  </c:pt>
                  <c:pt idx="3">
                    <c:v>7.4000000000000003E-3</c:v>
                  </c:pt>
                  <c:pt idx="4">
                    <c:v>0</c:v>
                  </c:pt>
                  <c:pt idx="5">
                    <c:v>2.5999999999999999E-3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5.4999999999999997E-3</c:v>
                  </c:pt>
                  <c:pt idx="3">
                    <c:v>7.4000000000000003E-3</c:v>
                  </c:pt>
                  <c:pt idx="4">
                    <c:v>0</c:v>
                  </c:pt>
                  <c:pt idx="5">
                    <c:v>2.5999999999999999E-3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5547</c:v>
                </c:pt>
                <c:pt idx="2">
                  <c:v>5941</c:v>
                </c:pt>
                <c:pt idx="3">
                  <c:v>6040</c:v>
                </c:pt>
                <c:pt idx="4">
                  <c:v>6040</c:v>
                </c:pt>
                <c:pt idx="5">
                  <c:v>6053.5</c:v>
                </c:pt>
                <c:pt idx="6">
                  <c:v>6487.5</c:v>
                </c:pt>
                <c:pt idx="7">
                  <c:v>6561.5</c:v>
                </c:pt>
                <c:pt idx="8">
                  <c:v>6606</c:v>
                </c:pt>
                <c:pt idx="9">
                  <c:v>8735</c:v>
                </c:pt>
                <c:pt idx="10">
                  <c:v>9878.5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93-488F-A864-2E80CC7E03E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5.4999999999999997E-3</c:v>
                  </c:pt>
                  <c:pt idx="3">
                    <c:v>7.4000000000000003E-3</c:v>
                  </c:pt>
                  <c:pt idx="4">
                    <c:v>0</c:v>
                  </c:pt>
                  <c:pt idx="5">
                    <c:v>2.5999999999999999E-3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5.4999999999999997E-3</c:v>
                  </c:pt>
                  <c:pt idx="3">
                    <c:v>7.4000000000000003E-3</c:v>
                  </c:pt>
                  <c:pt idx="4">
                    <c:v>0</c:v>
                  </c:pt>
                  <c:pt idx="5">
                    <c:v>2.5999999999999999E-3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5547</c:v>
                </c:pt>
                <c:pt idx="2">
                  <c:v>5941</c:v>
                </c:pt>
                <c:pt idx="3">
                  <c:v>6040</c:v>
                </c:pt>
                <c:pt idx="4">
                  <c:v>6040</c:v>
                </c:pt>
                <c:pt idx="5">
                  <c:v>6053.5</c:v>
                </c:pt>
                <c:pt idx="6">
                  <c:v>6487.5</c:v>
                </c:pt>
                <c:pt idx="7">
                  <c:v>6561.5</c:v>
                </c:pt>
                <c:pt idx="8">
                  <c:v>6606</c:v>
                </c:pt>
                <c:pt idx="9">
                  <c:v>8735</c:v>
                </c:pt>
                <c:pt idx="10">
                  <c:v>9878.5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-0.33853999999701045</c:v>
                </c:pt>
                <c:pt idx="1">
                  <c:v>1.1240000007092021E-2</c:v>
                </c:pt>
                <c:pt idx="4">
                  <c:v>4.2800000002898742E-2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93-488F-A864-2E80CC7E03E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5.4999999999999997E-3</c:v>
                  </c:pt>
                  <c:pt idx="3">
                    <c:v>7.4000000000000003E-3</c:v>
                  </c:pt>
                  <c:pt idx="4">
                    <c:v>0</c:v>
                  </c:pt>
                  <c:pt idx="5">
                    <c:v>2.5999999999999999E-3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5.4999999999999997E-3</c:v>
                  </c:pt>
                  <c:pt idx="3">
                    <c:v>7.4000000000000003E-3</c:v>
                  </c:pt>
                  <c:pt idx="4">
                    <c:v>0</c:v>
                  </c:pt>
                  <c:pt idx="5">
                    <c:v>2.5999999999999999E-3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5547</c:v>
                </c:pt>
                <c:pt idx="2">
                  <c:v>5941</c:v>
                </c:pt>
                <c:pt idx="3">
                  <c:v>6040</c:v>
                </c:pt>
                <c:pt idx="4">
                  <c:v>6040</c:v>
                </c:pt>
                <c:pt idx="5">
                  <c:v>6053.5</c:v>
                </c:pt>
                <c:pt idx="6">
                  <c:v>6487.5</c:v>
                </c:pt>
                <c:pt idx="7">
                  <c:v>6561.5</c:v>
                </c:pt>
                <c:pt idx="8">
                  <c:v>6606</c:v>
                </c:pt>
                <c:pt idx="9">
                  <c:v>8735</c:v>
                </c:pt>
                <c:pt idx="10">
                  <c:v>9878.5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4.7520000007352792E-2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93-488F-A864-2E80CC7E03E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5.4999999999999997E-3</c:v>
                  </c:pt>
                  <c:pt idx="3">
                    <c:v>7.4000000000000003E-3</c:v>
                  </c:pt>
                  <c:pt idx="4">
                    <c:v>0</c:v>
                  </c:pt>
                  <c:pt idx="5">
                    <c:v>2.5999999999999999E-3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5.4999999999999997E-3</c:v>
                  </c:pt>
                  <c:pt idx="3">
                    <c:v>7.4000000000000003E-3</c:v>
                  </c:pt>
                  <c:pt idx="4">
                    <c:v>0</c:v>
                  </c:pt>
                  <c:pt idx="5">
                    <c:v>2.5999999999999999E-3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5547</c:v>
                </c:pt>
                <c:pt idx="2">
                  <c:v>5941</c:v>
                </c:pt>
                <c:pt idx="3">
                  <c:v>6040</c:v>
                </c:pt>
                <c:pt idx="4">
                  <c:v>6040</c:v>
                </c:pt>
                <c:pt idx="5">
                  <c:v>6053.5</c:v>
                </c:pt>
                <c:pt idx="6">
                  <c:v>6487.5</c:v>
                </c:pt>
                <c:pt idx="7">
                  <c:v>6561.5</c:v>
                </c:pt>
                <c:pt idx="8">
                  <c:v>6606</c:v>
                </c:pt>
                <c:pt idx="9">
                  <c:v>8735</c:v>
                </c:pt>
                <c:pt idx="10">
                  <c:v>9878.5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3.8220000002183951E-2</c:v>
                </c:pt>
                <c:pt idx="3">
                  <c:v>4.2790000006789342E-2</c:v>
                </c:pt>
                <c:pt idx="6">
                  <c:v>7.4300000000221189E-2</c:v>
                </c:pt>
                <c:pt idx="7">
                  <c:v>7.9579999997804407E-2</c:v>
                </c:pt>
                <c:pt idx="8">
                  <c:v>8.2020000008924399E-2</c:v>
                </c:pt>
                <c:pt idx="9">
                  <c:v>0.21910000000207219</c:v>
                </c:pt>
                <c:pt idx="10">
                  <c:v>0.29192000000330154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93-488F-A864-2E80CC7E03E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5.4999999999999997E-3</c:v>
                  </c:pt>
                  <c:pt idx="3">
                    <c:v>7.4000000000000003E-3</c:v>
                  </c:pt>
                  <c:pt idx="4">
                    <c:v>0</c:v>
                  </c:pt>
                  <c:pt idx="5">
                    <c:v>2.5999999999999999E-3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5.4999999999999997E-3</c:v>
                  </c:pt>
                  <c:pt idx="3">
                    <c:v>7.4000000000000003E-3</c:v>
                  </c:pt>
                  <c:pt idx="4">
                    <c:v>0</c:v>
                  </c:pt>
                  <c:pt idx="5">
                    <c:v>2.5999999999999999E-3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5547</c:v>
                </c:pt>
                <c:pt idx="2">
                  <c:v>5941</c:v>
                </c:pt>
                <c:pt idx="3">
                  <c:v>6040</c:v>
                </c:pt>
                <c:pt idx="4">
                  <c:v>6040</c:v>
                </c:pt>
                <c:pt idx="5">
                  <c:v>6053.5</c:v>
                </c:pt>
                <c:pt idx="6">
                  <c:v>6487.5</c:v>
                </c:pt>
                <c:pt idx="7">
                  <c:v>6561.5</c:v>
                </c:pt>
                <c:pt idx="8">
                  <c:v>6606</c:v>
                </c:pt>
                <c:pt idx="9">
                  <c:v>8735</c:v>
                </c:pt>
                <c:pt idx="10">
                  <c:v>9878.5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93-488F-A864-2E80CC7E03E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5.4999999999999997E-3</c:v>
                  </c:pt>
                  <c:pt idx="3">
                    <c:v>7.4000000000000003E-3</c:v>
                  </c:pt>
                  <c:pt idx="4">
                    <c:v>0</c:v>
                  </c:pt>
                  <c:pt idx="5">
                    <c:v>2.5999999999999999E-3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5.4999999999999997E-3</c:v>
                  </c:pt>
                  <c:pt idx="3">
                    <c:v>7.4000000000000003E-3</c:v>
                  </c:pt>
                  <c:pt idx="4">
                    <c:v>0</c:v>
                  </c:pt>
                  <c:pt idx="5">
                    <c:v>2.5999999999999999E-3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5547</c:v>
                </c:pt>
                <c:pt idx="2">
                  <c:v>5941</c:v>
                </c:pt>
                <c:pt idx="3">
                  <c:v>6040</c:v>
                </c:pt>
                <c:pt idx="4">
                  <c:v>6040</c:v>
                </c:pt>
                <c:pt idx="5">
                  <c:v>6053.5</c:v>
                </c:pt>
                <c:pt idx="6">
                  <c:v>6487.5</c:v>
                </c:pt>
                <c:pt idx="7">
                  <c:v>6561.5</c:v>
                </c:pt>
                <c:pt idx="8">
                  <c:v>6606</c:v>
                </c:pt>
                <c:pt idx="9">
                  <c:v>8735</c:v>
                </c:pt>
                <c:pt idx="10">
                  <c:v>9878.5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93-488F-A864-2E80CC7E03E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5.4999999999999997E-3</c:v>
                  </c:pt>
                  <c:pt idx="3">
                    <c:v>7.4000000000000003E-3</c:v>
                  </c:pt>
                  <c:pt idx="4">
                    <c:v>0</c:v>
                  </c:pt>
                  <c:pt idx="5">
                    <c:v>2.5999999999999999E-3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5.4999999999999997E-3</c:v>
                  </c:pt>
                  <c:pt idx="3">
                    <c:v>7.4000000000000003E-3</c:v>
                  </c:pt>
                  <c:pt idx="4">
                    <c:v>0</c:v>
                  </c:pt>
                  <c:pt idx="5">
                    <c:v>2.5999999999999999E-3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5547</c:v>
                </c:pt>
                <c:pt idx="2">
                  <c:v>5941</c:v>
                </c:pt>
                <c:pt idx="3">
                  <c:v>6040</c:v>
                </c:pt>
                <c:pt idx="4">
                  <c:v>6040</c:v>
                </c:pt>
                <c:pt idx="5">
                  <c:v>6053.5</c:v>
                </c:pt>
                <c:pt idx="6">
                  <c:v>6487.5</c:v>
                </c:pt>
                <c:pt idx="7">
                  <c:v>6561.5</c:v>
                </c:pt>
                <c:pt idx="8">
                  <c:v>6606</c:v>
                </c:pt>
                <c:pt idx="9">
                  <c:v>8735</c:v>
                </c:pt>
                <c:pt idx="10">
                  <c:v>9878.5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93-488F-A864-2E80CC7E03E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5547</c:v>
                </c:pt>
                <c:pt idx="2">
                  <c:v>5941</c:v>
                </c:pt>
                <c:pt idx="3">
                  <c:v>6040</c:v>
                </c:pt>
                <c:pt idx="4">
                  <c:v>6040</c:v>
                </c:pt>
                <c:pt idx="5">
                  <c:v>6053.5</c:v>
                </c:pt>
                <c:pt idx="6">
                  <c:v>6487.5</c:v>
                </c:pt>
                <c:pt idx="7">
                  <c:v>6561.5</c:v>
                </c:pt>
                <c:pt idx="8">
                  <c:v>6606</c:v>
                </c:pt>
                <c:pt idx="9">
                  <c:v>8735</c:v>
                </c:pt>
                <c:pt idx="10">
                  <c:v>9878.5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-0.34603930813095723</c:v>
                </c:pt>
                <c:pt idx="1">
                  <c:v>1.2633248556055521E-2</c:v>
                </c:pt>
                <c:pt idx="2">
                  <c:v>3.8111836374442432E-2</c:v>
                </c:pt>
                <c:pt idx="3">
                  <c:v>4.4513816562311237E-2</c:v>
                </c:pt>
                <c:pt idx="4">
                  <c:v>4.4513816562311237E-2</c:v>
                </c:pt>
                <c:pt idx="5">
                  <c:v>4.538681386065696E-2</c:v>
                </c:pt>
                <c:pt idx="6">
                  <c:v>7.3452060340809033E-2</c:v>
                </c:pt>
                <c:pt idx="7">
                  <c:v>7.8237378865074592E-2</c:v>
                </c:pt>
                <c:pt idx="8">
                  <c:v>8.1115036626288328E-2</c:v>
                </c:pt>
                <c:pt idx="9">
                  <c:v>0.21878994389873951</c:v>
                </c:pt>
                <c:pt idx="10">
                  <c:v>0.29273604839195122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93-488F-A864-2E80CC7E0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213568"/>
        <c:axId val="1"/>
      </c:scatterChart>
      <c:valAx>
        <c:axId val="715213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213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073298764483702"/>
          <c:w val="0.6285714285714285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38100</xdr:rowOff>
    </xdr:from>
    <xdr:to>
      <xdr:col>17</xdr:col>
      <xdr:colOff>190500</xdr:colOff>
      <xdr:row>18</xdr:row>
      <xdr:rowOff>76200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0275097E-FF82-8D82-0089-BEA89AF70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6011" TargetMode="External"/><Relationship Id="rId2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konkoly.hu/cgi-bin/IBVS?5929" TargetMode="External"/><Relationship Id="rId6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29"/>
      <c r="F1" s="30" t="s">
        <v>35</v>
      </c>
      <c r="G1" s="29" t="s">
        <v>36</v>
      </c>
      <c r="H1" s="31" t="s">
        <v>37</v>
      </c>
      <c r="I1" s="32">
        <v>51415.813999999998</v>
      </c>
      <c r="J1" s="32">
        <v>0.67708000000000002</v>
      </c>
      <c r="K1" s="33" t="s">
        <v>38</v>
      </c>
      <c r="L1" s="34" t="s">
        <v>39</v>
      </c>
    </row>
    <row r="2" spans="1:12" x14ac:dyDescent="0.2">
      <c r="A2" t="s">
        <v>24</v>
      </c>
      <c r="B2" t="s">
        <v>36</v>
      </c>
      <c r="C2" s="3"/>
      <c r="D2" s="10"/>
    </row>
    <row r="3" spans="1:12" ht="13.5" thickBot="1" x14ac:dyDescent="0.25"/>
    <row r="4" spans="1:12" ht="14.25" thickTop="1" thickBot="1" x14ac:dyDescent="0.25">
      <c r="A4" s="28" t="s">
        <v>40</v>
      </c>
      <c r="C4" s="8">
        <v>51415.813999999998</v>
      </c>
      <c r="D4" s="9">
        <v>0.67708000000000002</v>
      </c>
    </row>
    <row r="5" spans="1:12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12" x14ac:dyDescent="0.2">
      <c r="A6" s="5" t="s">
        <v>2</v>
      </c>
    </row>
    <row r="7" spans="1:12" x14ac:dyDescent="0.2">
      <c r="A7" t="s">
        <v>3</v>
      </c>
      <c r="C7">
        <f>+C4</f>
        <v>51415.813999999998</v>
      </c>
    </row>
    <row r="8" spans="1:12" x14ac:dyDescent="0.2">
      <c r="A8" t="s">
        <v>4</v>
      </c>
      <c r="C8">
        <f>+D4</f>
        <v>0.67708000000000002</v>
      </c>
    </row>
    <row r="9" spans="1:12" x14ac:dyDescent="0.2">
      <c r="A9" s="26" t="s">
        <v>34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12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12" x14ac:dyDescent="0.2">
      <c r="A11" s="12" t="s">
        <v>16</v>
      </c>
      <c r="B11" s="12"/>
      <c r="C11" s="23">
        <f ca="1">INTERCEPT(INDIRECT($D$9):G992,INDIRECT($C$9):F992)</f>
        <v>-0.3460716413642293</v>
      </c>
      <c r="D11" s="3"/>
      <c r="E11" s="12"/>
    </row>
    <row r="12" spans="1:12" x14ac:dyDescent="0.2">
      <c r="A12" s="12" t="s">
        <v>17</v>
      </c>
      <c r="B12" s="12"/>
      <c r="C12" s="23">
        <f ca="1">SLOPE(INDIRECT($D$9):G992,INDIRECT($C$9):F992)</f>
        <v>6.4666466544129224E-5</v>
      </c>
      <c r="D12" s="3"/>
      <c r="E12" s="12"/>
    </row>
    <row r="13" spans="1:12" x14ac:dyDescent="0.2">
      <c r="A13" s="12" t="s">
        <v>19</v>
      </c>
      <c r="B13" s="12"/>
      <c r="C13" s="3" t="s">
        <v>14</v>
      </c>
    </row>
    <row r="14" spans="1:12" x14ac:dyDescent="0.2">
      <c r="A14" s="12"/>
      <c r="B14" s="12"/>
      <c r="C14" s="12"/>
    </row>
    <row r="15" spans="1:12" x14ac:dyDescent="0.2">
      <c r="A15" s="14" t="s">
        <v>18</v>
      </c>
      <c r="B15" s="12"/>
      <c r="C15" s="15">
        <f ca="1">(C7+C11)+(C8+C12)*INT(MAX(F21:F3533))</f>
        <v>58104.302943715164</v>
      </c>
      <c r="E15" s="16" t="s">
        <v>44</v>
      </c>
      <c r="F15" s="13">
        <v>1</v>
      </c>
    </row>
    <row r="16" spans="1:12" x14ac:dyDescent="0.2">
      <c r="A16" s="18" t="s">
        <v>5</v>
      </c>
      <c r="B16" s="12"/>
      <c r="C16" s="19">
        <f ca="1">+C8+C12</f>
        <v>0.67714466646654414</v>
      </c>
      <c r="E16" s="16" t="s">
        <v>31</v>
      </c>
      <c r="F16" s="17">
        <f ca="1">NOW()+15018.5+$C$5/24</f>
        <v>60329.742542939814</v>
      </c>
    </row>
    <row r="17" spans="1:17" ht="13.5" thickBot="1" x14ac:dyDescent="0.25">
      <c r="A17" s="16" t="s">
        <v>28</v>
      </c>
      <c r="B17" s="12"/>
      <c r="C17" s="12">
        <f>COUNT(C21:C2191)</f>
        <v>11</v>
      </c>
      <c r="E17" s="16" t="s">
        <v>45</v>
      </c>
      <c r="F17" s="17">
        <f ca="1">ROUND(2*(F16-$C$7)/$C$8,0)/2+F15</f>
        <v>13166.5</v>
      </c>
    </row>
    <row r="18" spans="1:17" ht="14.25" thickTop="1" thickBot="1" x14ac:dyDescent="0.25">
      <c r="A18" s="18" t="s">
        <v>6</v>
      </c>
      <c r="B18" s="12"/>
      <c r="C18" s="21">
        <f ca="1">+C15</f>
        <v>58104.302943715164</v>
      </c>
      <c r="D18" s="22">
        <f ca="1">+C16</f>
        <v>0.67714466646654414</v>
      </c>
      <c r="E18" s="16" t="s">
        <v>32</v>
      </c>
      <c r="F18" s="25">
        <f ca="1">ROUND(2*(F16-$C$15)/$C$16,0)/2+F15</f>
        <v>3287.5</v>
      </c>
    </row>
    <row r="19" spans="1:17" ht="13.5" thickTop="1" x14ac:dyDescent="0.2">
      <c r="E19" s="16" t="s">
        <v>33</v>
      </c>
      <c r="F19" s="20">
        <f ca="1">+$C$15+$C$16*F18-15018.5-$C$5/24</f>
        <v>45312.311868057266</v>
      </c>
    </row>
    <row r="20" spans="1:17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57</v>
      </c>
      <c r="I20" s="7" t="s">
        <v>60</v>
      </c>
      <c r="J20" s="7" t="s">
        <v>54</v>
      </c>
      <c r="K20" s="7" t="s">
        <v>52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41</v>
      </c>
      <c r="C21" s="10">
        <v>51415.813999999998</v>
      </c>
      <c r="D21" s="10" t="s">
        <v>14</v>
      </c>
      <c r="E21">
        <f t="shared" ref="E21:E29" si="0">+(C21-C$7)/C$8</f>
        <v>0</v>
      </c>
      <c r="F21" s="35">
        <f>ROUND(2*E21,0)/2+0.5</f>
        <v>0.5</v>
      </c>
      <c r="G21">
        <f t="shared" ref="G21:G29" si="1">+C21-(C$7+F21*C$8)</f>
        <v>-0.33853999999701045</v>
      </c>
      <c r="I21">
        <f>+G21</f>
        <v>-0.33853999999701045</v>
      </c>
      <c r="O21">
        <f t="shared" ref="O21:O29" ca="1" si="2">+C$11+C$12*$F21</f>
        <v>-0.34603930813095723</v>
      </c>
      <c r="Q21" s="2">
        <f t="shared" ref="Q21:Q29" si="3">+C21-15018.5</f>
        <v>36397.313999999998</v>
      </c>
    </row>
    <row r="22" spans="1:17" x14ac:dyDescent="0.2">
      <c r="A22" s="5" t="s">
        <v>43</v>
      </c>
      <c r="C22" s="10">
        <v>55171.588000000003</v>
      </c>
      <c r="D22" s="10">
        <v>1E-3</v>
      </c>
      <c r="E22">
        <f t="shared" si="0"/>
        <v>5547.0166006971185</v>
      </c>
      <c r="F22">
        <f t="shared" ref="F22:F29" si="4">ROUND(2*E22,0)/2</f>
        <v>5547</v>
      </c>
      <c r="G22">
        <f t="shared" si="1"/>
        <v>1.1240000007092021E-2</v>
      </c>
      <c r="I22">
        <f>+G22</f>
        <v>1.1240000007092021E-2</v>
      </c>
      <c r="O22">
        <f t="shared" ca="1" si="2"/>
        <v>1.2633248556055521E-2</v>
      </c>
      <c r="Q22" s="2">
        <f t="shared" si="3"/>
        <v>40153.088000000003</v>
      </c>
    </row>
    <row r="23" spans="1:17" x14ac:dyDescent="0.2">
      <c r="A23" s="55" t="s">
        <v>46</v>
      </c>
      <c r="B23" s="56" t="s">
        <v>47</v>
      </c>
      <c r="C23" s="57">
        <v>55438.3845</v>
      </c>
      <c r="D23" s="57">
        <v>5.4999999999999997E-3</v>
      </c>
      <c r="E23">
        <f t="shared" si="0"/>
        <v>5941.0564482779018</v>
      </c>
      <c r="F23">
        <f t="shared" si="4"/>
        <v>5941</v>
      </c>
      <c r="G23">
        <f t="shared" si="1"/>
        <v>3.8220000002183951E-2</v>
      </c>
      <c r="K23">
        <f>+G23</f>
        <v>3.8220000002183951E-2</v>
      </c>
      <c r="O23">
        <f t="shared" ca="1" si="2"/>
        <v>3.8111836374442432E-2</v>
      </c>
      <c r="Q23" s="2">
        <f t="shared" si="3"/>
        <v>40419.8845</v>
      </c>
    </row>
    <row r="24" spans="1:17" x14ac:dyDescent="0.2">
      <c r="A24" s="55" t="s">
        <v>46</v>
      </c>
      <c r="B24" s="56" t="s">
        <v>47</v>
      </c>
      <c r="C24" s="57">
        <v>55505.419990000002</v>
      </c>
      <c r="D24" s="57">
        <v>7.4000000000000003E-3</v>
      </c>
      <c r="E24">
        <f t="shared" si="0"/>
        <v>6040.0631978495949</v>
      </c>
      <c r="F24">
        <f t="shared" si="4"/>
        <v>6040</v>
      </c>
      <c r="G24">
        <f t="shared" si="1"/>
        <v>4.2790000006789342E-2</v>
      </c>
      <c r="K24">
        <f>+G24</f>
        <v>4.2790000006789342E-2</v>
      </c>
      <c r="O24">
        <f t="shared" ca="1" si="2"/>
        <v>4.4513816562311237E-2</v>
      </c>
      <c r="Q24" s="2">
        <f t="shared" si="3"/>
        <v>40486.919990000002</v>
      </c>
    </row>
    <row r="25" spans="1:17" x14ac:dyDescent="0.2">
      <c r="A25" s="53" t="s">
        <v>71</v>
      </c>
      <c r="B25" s="54" t="s">
        <v>47</v>
      </c>
      <c r="C25" s="53">
        <v>55505.42</v>
      </c>
      <c r="D25" s="53" t="s">
        <v>60</v>
      </c>
      <c r="E25">
        <f t="shared" si="0"/>
        <v>6040.0632126188921</v>
      </c>
      <c r="F25">
        <f t="shared" si="4"/>
        <v>6040</v>
      </c>
      <c r="G25">
        <f t="shared" si="1"/>
        <v>4.2800000002898742E-2</v>
      </c>
      <c r="I25">
        <f>+G25</f>
        <v>4.2800000002898742E-2</v>
      </c>
      <c r="O25">
        <f t="shared" ca="1" si="2"/>
        <v>4.4513816562311237E-2</v>
      </c>
      <c r="Q25" s="2">
        <f t="shared" si="3"/>
        <v>40486.92</v>
      </c>
    </row>
    <row r="26" spans="1:17" x14ac:dyDescent="0.2">
      <c r="A26" s="38" t="s">
        <v>49</v>
      </c>
      <c r="B26" s="38"/>
      <c r="C26" s="39">
        <v>55514.565300000002</v>
      </c>
      <c r="D26" s="39">
        <v>2.5999999999999999E-3</v>
      </c>
      <c r="E26">
        <f t="shared" si="0"/>
        <v>6053.5701837301403</v>
      </c>
      <c r="F26">
        <f t="shared" si="4"/>
        <v>6053.5</v>
      </c>
      <c r="G26">
        <f t="shared" si="1"/>
        <v>4.7520000007352792E-2</v>
      </c>
      <c r="J26">
        <f>+G26</f>
        <v>4.7520000007352792E-2</v>
      </c>
      <c r="O26">
        <f t="shared" ca="1" si="2"/>
        <v>4.538681386065696E-2</v>
      </c>
      <c r="Q26" s="2">
        <f t="shared" si="3"/>
        <v>40496.065300000002</v>
      </c>
    </row>
    <row r="27" spans="1:17" x14ac:dyDescent="0.2">
      <c r="A27" s="53" t="s">
        <v>85</v>
      </c>
      <c r="B27" s="54" t="s">
        <v>97</v>
      </c>
      <c r="C27" s="53">
        <v>55808.444799999997</v>
      </c>
      <c r="D27" s="53" t="s">
        <v>60</v>
      </c>
      <c r="E27">
        <f t="shared" si="0"/>
        <v>6487.6097359248524</v>
      </c>
      <c r="F27">
        <f t="shared" si="4"/>
        <v>6487.5</v>
      </c>
      <c r="G27">
        <f t="shared" si="1"/>
        <v>7.4300000000221189E-2</v>
      </c>
      <c r="K27">
        <f>+G27</f>
        <v>7.4300000000221189E-2</v>
      </c>
      <c r="O27">
        <f t="shared" ca="1" si="2"/>
        <v>7.3452060340809033E-2</v>
      </c>
      <c r="Q27" s="2">
        <f t="shared" si="3"/>
        <v>40789.944799999997</v>
      </c>
    </row>
    <row r="28" spans="1:17" x14ac:dyDescent="0.2">
      <c r="A28" s="53" t="s">
        <v>85</v>
      </c>
      <c r="B28" s="54" t="s">
        <v>97</v>
      </c>
      <c r="C28" s="53">
        <v>55858.553999999996</v>
      </c>
      <c r="D28" s="53" t="s">
        <v>60</v>
      </c>
      <c r="E28">
        <f t="shared" si="0"/>
        <v>6561.6175341170883</v>
      </c>
      <c r="F28">
        <f t="shared" si="4"/>
        <v>6561.5</v>
      </c>
      <c r="G28">
        <f t="shared" si="1"/>
        <v>7.9579999997804407E-2</v>
      </c>
      <c r="K28">
        <f>+G28</f>
        <v>7.9579999997804407E-2</v>
      </c>
      <c r="O28">
        <f t="shared" ca="1" si="2"/>
        <v>7.8237378865074592E-2</v>
      </c>
      <c r="Q28" s="2">
        <f t="shared" si="3"/>
        <v>40840.053999999996</v>
      </c>
    </row>
    <row r="29" spans="1:17" x14ac:dyDescent="0.2">
      <c r="A29" s="36" t="s">
        <v>48</v>
      </c>
      <c r="B29" s="37" t="s">
        <v>47</v>
      </c>
      <c r="C29" s="36">
        <v>55888.686500000003</v>
      </c>
      <c r="D29" s="36">
        <v>8.9999999999999998E-4</v>
      </c>
      <c r="E29">
        <f t="shared" si="0"/>
        <v>6606.1211378271473</v>
      </c>
      <c r="F29">
        <f t="shared" si="4"/>
        <v>6606</v>
      </c>
      <c r="G29">
        <f t="shared" si="1"/>
        <v>8.2020000008924399E-2</v>
      </c>
      <c r="K29">
        <f>+G29</f>
        <v>8.2020000008924399E-2</v>
      </c>
      <c r="O29">
        <f t="shared" ca="1" si="2"/>
        <v>8.1115036626288328E-2</v>
      </c>
      <c r="Q29" s="2">
        <f t="shared" si="3"/>
        <v>40870.186500000003</v>
      </c>
    </row>
    <row r="30" spans="1:17" x14ac:dyDescent="0.2">
      <c r="A30" s="59" t="s">
        <v>0</v>
      </c>
      <c r="B30" s="60" t="s">
        <v>47</v>
      </c>
      <c r="C30" s="61">
        <v>57330.3269</v>
      </c>
      <c r="D30" s="61" t="s">
        <v>1</v>
      </c>
      <c r="E30">
        <f>+(C30-C$7)/C$8</f>
        <v>8735.3235954392403</v>
      </c>
      <c r="F30" s="58">
        <f>ROUND(2*E30,0)/2-0.5</f>
        <v>8735</v>
      </c>
      <c r="G30">
        <f>+C30-(C$7+F30*C$8)</f>
        <v>0.21910000000207219</v>
      </c>
      <c r="K30">
        <f>+G30</f>
        <v>0.21910000000207219</v>
      </c>
      <c r="O30">
        <f ca="1">+C$11+C$12*$F30</f>
        <v>0.21878994389873951</v>
      </c>
      <c r="Q30" s="2">
        <f>+C30-15018.5</f>
        <v>42311.8269</v>
      </c>
    </row>
    <row r="31" spans="1:17" x14ac:dyDescent="0.2">
      <c r="A31" s="62" t="s">
        <v>98</v>
      </c>
      <c r="B31" s="63" t="s">
        <v>97</v>
      </c>
      <c r="C31" s="62">
        <v>58104.640700000004</v>
      </c>
      <c r="D31" s="62">
        <v>2.0000000000000001E-4</v>
      </c>
      <c r="E31">
        <f>+(C31-C$7)/C$8</f>
        <v>9878.9311455071856</v>
      </c>
      <c r="F31" s="58">
        <f>ROUND(2*E31,0)/2-0.5</f>
        <v>9878.5</v>
      </c>
      <c r="G31">
        <f>+C31-(C$7+F31*C$8)</f>
        <v>0.29192000000330154</v>
      </c>
      <c r="K31">
        <f>+G31</f>
        <v>0.29192000000330154</v>
      </c>
      <c r="O31">
        <f ca="1">+C$11+C$12*$F31</f>
        <v>0.29273604839195122</v>
      </c>
      <c r="Q31" s="2">
        <f>+C31-15018.5</f>
        <v>43086.140700000004</v>
      </c>
    </row>
    <row r="32" spans="1:17" x14ac:dyDescent="0.2">
      <c r="B32" s="3"/>
      <c r="C32" s="10"/>
      <c r="D32" s="10"/>
      <c r="Q32" s="2"/>
    </row>
    <row r="33" spans="2:17" x14ac:dyDescent="0.2">
      <c r="B33" s="3"/>
      <c r="C33" s="10"/>
      <c r="D33" s="10"/>
      <c r="Q33" s="2"/>
    </row>
    <row r="34" spans="2:17" x14ac:dyDescent="0.2">
      <c r="B34" s="3"/>
      <c r="C34" s="10"/>
      <c r="D34" s="10"/>
    </row>
    <row r="35" spans="2:17" x14ac:dyDescent="0.2">
      <c r="B35" s="3"/>
      <c r="C35" s="10"/>
      <c r="D35" s="10"/>
    </row>
    <row r="36" spans="2:17" x14ac:dyDescent="0.2">
      <c r="C36" s="10"/>
      <c r="D36" s="10"/>
    </row>
    <row r="37" spans="2:17" x14ac:dyDescent="0.2">
      <c r="C37" s="10"/>
      <c r="D37" s="10"/>
    </row>
    <row r="38" spans="2:17" x14ac:dyDescent="0.2">
      <c r="C38" s="10"/>
      <c r="D38" s="10"/>
    </row>
    <row r="39" spans="2:17" x14ac:dyDescent="0.2">
      <c r="C39" s="10"/>
      <c r="D39" s="10"/>
    </row>
    <row r="40" spans="2:17" x14ac:dyDescent="0.2">
      <c r="C40" s="10"/>
      <c r="D40" s="10"/>
    </row>
    <row r="41" spans="2:17" x14ac:dyDescent="0.2">
      <c r="C41" s="10"/>
      <c r="D41" s="10"/>
    </row>
    <row r="42" spans="2:17" x14ac:dyDescent="0.2">
      <c r="C42" s="10"/>
      <c r="D42" s="10"/>
    </row>
    <row r="43" spans="2:17" x14ac:dyDescent="0.2">
      <c r="C43" s="10"/>
      <c r="D43" s="10"/>
    </row>
    <row r="44" spans="2:17" x14ac:dyDescent="0.2">
      <c r="C44" s="10"/>
      <c r="D44" s="10"/>
    </row>
    <row r="45" spans="2:17" x14ac:dyDescent="0.2">
      <c r="C45" s="10"/>
      <c r="D45" s="10"/>
    </row>
    <row r="46" spans="2:17" x14ac:dyDescent="0.2">
      <c r="C46" s="10"/>
      <c r="D46" s="10"/>
    </row>
    <row r="47" spans="2:17" x14ac:dyDescent="0.2">
      <c r="C47" s="10"/>
      <c r="D47" s="10"/>
    </row>
    <row r="48" spans="2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hyperlinks>
    <hyperlink ref="H2153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1"/>
  <sheetViews>
    <sheetView workbookViewId="0">
      <selection activeCell="A15" sqref="A15:D17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0" t="s">
        <v>50</v>
      </c>
      <c r="I1" s="41" t="s">
        <v>51</v>
      </c>
      <c r="J1" s="42" t="s">
        <v>52</v>
      </c>
    </row>
    <row r="2" spans="1:16" x14ac:dyDescent="0.2">
      <c r="I2" s="43" t="s">
        <v>53</v>
      </c>
      <c r="J2" s="44" t="s">
        <v>54</v>
      </c>
    </row>
    <row r="3" spans="1:16" x14ac:dyDescent="0.2">
      <c r="A3" s="45" t="s">
        <v>55</v>
      </c>
      <c r="I3" s="43" t="s">
        <v>56</v>
      </c>
      <c r="J3" s="44" t="s">
        <v>57</v>
      </c>
    </row>
    <row r="4" spans="1:16" x14ac:dyDescent="0.2">
      <c r="I4" s="43" t="s">
        <v>58</v>
      </c>
      <c r="J4" s="44" t="s">
        <v>57</v>
      </c>
    </row>
    <row r="5" spans="1:16" ht="13.5" thickBot="1" x14ac:dyDescent="0.25">
      <c r="I5" s="46" t="s">
        <v>59</v>
      </c>
      <c r="J5" s="47" t="s">
        <v>60</v>
      </c>
    </row>
    <row r="10" spans="1:16" ht="13.5" thickBot="1" x14ac:dyDescent="0.25"/>
    <row r="11" spans="1:16" ht="12.75" customHeight="1" thickBot="1" x14ac:dyDescent="0.25">
      <c r="A11" s="10" t="str">
        <f t="shared" ref="A11:A17" si="0">P11</f>
        <v>IBVS 5929 </v>
      </c>
      <c r="B11" s="3" t="str">
        <f t="shared" ref="B11:B17" si="1">IF(H11=INT(H11),"I","II")</f>
        <v>I</v>
      </c>
      <c r="C11" s="10">
        <f t="shared" ref="C11:C17" si="2">1*G11</f>
        <v>55171.588000000003</v>
      </c>
      <c r="D11" s="12" t="str">
        <f t="shared" ref="D11:D17" si="3">VLOOKUP(F11,I$1:J$5,2,FALSE)</f>
        <v>vis</v>
      </c>
      <c r="E11" s="48">
        <f>VLOOKUP(C11,Active!C$21:E$973,3,FALSE)</f>
        <v>5547.0166006971185</v>
      </c>
      <c r="F11" s="3" t="s">
        <v>59</v>
      </c>
      <c r="G11" s="12" t="str">
        <f t="shared" ref="G11:G17" si="4">MID(I11,3,LEN(I11)-3)</f>
        <v>55171.588</v>
      </c>
      <c r="H11" s="10">
        <f t="shared" ref="H11:H17" si="5">1*K11</f>
        <v>5547</v>
      </c>
      <c r="I11" s="49" t="s">
        <v>61</v>
      </c>
      <c r="J11" s="50" t="s">
        <v>62</v>
      </c>
      <c r="K11" s="49">
        <v>5547</v>
      </c>
      <c r="L11" s="49" t="s">
        <v>63</v>
      </c>
      <c r="M11" s="50" t="s">
        <v>64</v>
      </c>
      <c r="N11" s="50" t="s">
        <v>51</v>
      </c>
      <c r="O11" s="51" t="s">
        <v>65</v>
      </c>
      <c r="P11" s="52" t="s">
        <v>66</v>
      </c>
    </row>
    <row r="12" spans="1:16" ht="12.75" customHeight="1" thickBot="1" x14ac:dyDescent="0.25">
      <c r="A12" s="10" t="str">
        <f t="shared" si="0"/>
        <v>OEJV 0137 </v>
      </c>
      <c r="B12" s="3" t="str">
        <f t="shared" si="1"/>
        <v>I</v>
      </c>
      <c r="C12" s="10">
        <f t="shared" si="2"/>
        <v>55438.3845</v>
      </c>
      <c r="D12" s="12" t="str">
        <f t="shared" si="3"/>
        <v>vis</v>
      </c>
      <c r="E12" s="48">
        <f>VLOOKUP(C12,Active!C$21:E$973,3,FALSE)</f>
        <v>5941.0564482779018</v>
      </c>
      <c r="F12" s="3" t="s">
        <v>59</v>
      </c>
      <c r="G12" s="12" t="str">
        <f t="shared" si="4"/>
        <v>55438.3845</v>
      </c>
      <c r="H12" s="10">
        <f t="shared" si="5"/>
        <v>5941</v>
      </c>
      <c r="I12" s="49" t="s">
        <v>67</v>
      </c>
      <c r="J12" s="50" t="s">
        <v>68</v>
      </c>
      <c r="K12" s="49">
        <v>5941</v>
      </c>
      <c r="L12" s="49" t="s">
        <v>69</v>
      </c>
      <c r="M12" s="50" t="s">
        <v>64</v>
      </c>
      <c r="N12" s="50" t="s">
        <v>59</v>
      </c>
      <c r="O12" s="51" t="s">
        <v>70</v>
      </c>
      <c r="P12" s="52" t="s">
        <v>71</v>
      </c>
    </row>
    <row r="13" spans="1:16" ht="12.75" customHeight="1" thickBot="1" x14ac:dyDescent="0.25">
      <c r="A13" s="10" t="str">
        <f t="shared" si="0"/>
        <v>BAVM 215 </v>
      </c>
      <c r="B13" s="3" t="str">
        <f t="shared" si="1"/>
        <v>II</v>
      </c>
      <c r="C13" s="10">
        <f t="shared" si="2"/>
        <v>55514.565300000002</v>
      </c>
      <c r="D13" s="12" t="str">
        <f t="shared" si="3"/>
        <v>vis</v>
      </c>
      <c r="E13" s="48">
        <f>VLOOKUP(C13,Active!C$21:E$973,3,FALSE)</f>
        <v>6053.5701837301403</v>
      </c>
      <c r="F13" s="3" t="s">
        <v>59</v>
      </c>
      <c r="G13" s="12" t="str">
        <f t="shared" si="4"/>
        <v>55514.5653</v>
      </c>
      <c r="H13" s="10">
        <f t="shared" si="5"/>
        <v>6053.5</v>
      </c>
      <c r="I13" s="49" t="s">
        <v>75</v>
      </c>
      <c r="J13" s="50" t="s">
        <v>76</v>
      </c>
      <c r="K13" s="49">
        <v>6053.5</v>
      </c>
      <c r="L13" s="49" t="s">
        <v>77</v>
      </c>
      <c r="M13" s="50" t="s">
        <v>64</v>
      </c>
      <c r="N13" s="50" t="s">
        <v>78</v>
      </c>
      <c r="O13" s="51" t="s">
        <v>79</v>
      </c>
      <c r="P13" s="52" t="s">
        <v>80</v>
      </c>
    </row>
    <row r="14" spans="1:16" ht="12.75" customHeight="1" thickBot="1" x14ac:dyDescent="0.25">
      <c r="A14" s="10" t="str">
        <f t="shared" si="0"/>
        <v>IBVS 6011 </v>
      </c>
      <c r="B14" s="3" t="str">
        <f t="shared" si="1"/>
        <v>I</v>
      </c>
      <c r="C14" s="10">
        <f t="shared" si="2"/>
        <v>55888.686500000003</v>
      </c>
      <c r="D14" s="12" t="str">
        <f t="shared" si="3"/>
        <v>vis</v>
      </c>
      <c r="E14" s="48">
        <f>VLOOKUP(C14,Active!C$21:E$973,3,FALSE)</f>
        <v>6606.1211378271473</v>
      </c>
      <c r="F14" s="3" t="s">
        <v>59</v>
      </c>
      <c r="G14" s="12" t="str">
        <f t="shared" si="4"/>
        <v>55888.6865</v>
      </c>
      <c r="H14" s="10">
        <f t="shared" si="5"/>
        <v>6606</v>
      </c>
      <c r="I14" s="49" t="s">
        <v>90</v>
      </c>
      <c r="J14" s="50" t="s">
        <v>91</v>
      </c>
      <c r="K14" s="49" t="s">
        <v>92</v>
      </c>
      <c r="L14" s="49" t="s">
        <v>93</v>
      </c>
      <c r="M14" s="50" t="s">
        <v>64</v>
      </c>
      <c r="N14" s="50" t="s">
        <v>94</v>
      </c>
      <c r="O14" s="51" t="s">
        <v>95</v>
      </c>
      <c r="P14" s="52" t="s">
        <v>96</v>
      </c>
    </row>
    <row r="15" spans="1:16" ht="12.75" customHeight="1" thickBot="1" x14ac:dyDescent="0.25">
      <c r="A15" s="10" t="str">
        <f t="shared" si="0"/>
        <v>OEJV 0137 </v>
      </c>
      <c r="B15" s="3" t="str">
        <f t="shared" si="1"/>
        <v>I</v>
      </c>
      <c r="C15" s="10">
        <f t="shared" si="2"/>
        <v>55505.42</v>
      </c>
      <c r="D15" s="12" t="str">
        <f t="shared" si="3"/>
        <v>vis</v>
      </c>
      <c r="E15" s="48">
        <f>VLOOKUP(C15,Active!C$21:E$973,3,FALSE)</f>
        <v>6040.0632126188921</v>
      </c>
      <c r="F15" s="3" t="s">
        <v>59</v>
      </c>
      <c r="G15" s="12" t="str">
        <f t="shared" si="4"/>
        <v>55505.4200</v>
      </c>
      <c r="H15" s="10">
        <f t="shared" si="5"/>
        <v>6040</v>
      </c>
      <c r="I15" s="49" t="s">
        <v>72</v>
      </c>
      <c r="J15" s="50" t="s">
        <v>73</v>
      </c>
      <c r="K15" s="49">
        <v>6040</v>
      </c>
      <c r="L15" s="49" t="s">
        <v>74</v>
      </c>
      <c r="M15" s="50" t="s">
        <v>64</v>
      </c>
      <c r="N15" s="50" t="s">
        <v>59</v>
      </c>
      <c r="O15" s="51" t="s">
        <v>70</v>
      </c>
      <c r="P15" s="52" t="s">
        <v>71</v>
      </c>
    </row>
    <row r="16" spans="1:16" ht="12.75" customHeight="1" thickBot="1" x14ac:dyDescent="0.25">
      <c r="A16" s="10" t="str">
        <f t="shared" si="0"/>
        <v>BAVM 225 </v>
      </c>
      <c r="B16" s="3" t="str">
        <f t="shared" si="1"/>
        <v>II</v>
      </c>
      <c r="C16" s="10">
        <f t="shared" si="2"/>
        <v>55808.444799999997</v>
      </c>
      <c r="D16" s="12" t="str">
        <f t="shared" si="3"/>
        <v>vis</v>
      </c>
      <c r="E16" s="48">
        <f>VLOOKUP(C16,Active!C$21:E$973,3,FALSE)</f>
        <v>6487.6097359248524</v>
      </c>
      <c r="F16" s="3" t="s">
        <v>59</v>
      </c>
      <c r="G16" s="12" t="str">
        <f t="shared" si="4"/>
        <v>55808.4448</v>
      </c>
      <c r="H16" s="10">
        <f t="shared" si="5"/>
        <v>6487.5</v>
      </c>
      <c r="I16" s="49" t="s">
        <v>81</v>
      </c>
      <c r="J16" s="50" t="s">
        <v>82</v>
      </c>
      <c r="K16" s="49" t="s">
        <v>83</v>
      </c>
      <c r="L16" s="49" t="s">
        <v>84</v>
      </c>
      <c r="M16" s="50" t="s">
        <v>64</v>
      </c>
      <c r="N16" s="50" t="s">
        <v>78</v>
      </c>
      <c r="O16" s="51" t="s">
        <v>79</v>
      </c>
      <c r="P16" s="52" t="s">
        <v>85</v>
      </c>
    </row>
    <row r="17" spans="1:16" ht="12.75" customHeight="1" thickBot="1" x14ac:dyDescent="0.25">
      <c r="A17" s="10" t="str">
        <f t="shared" si="0"/>
        <v>BAVM 225 </v>
      </c>
      <c r="B17" s="3" t="str">
        <f t="shared" si="1"/>
        <v>II</v>
      </c>
      <c r="C17" s="10">
        <f t="shared" si="2"/>
        <v>55858.553999999996</v>
      </c>
      <c r="D17" s="12" t="str">
        <f t="shared" si="3"/>
        <v>vis</v>
      </c>
      <c r="E17" s="48">
        <f>VLOOKUP(C17,Active!C$21:E$973,3,FALSE)</f>
        <v>6561.6175341170883</v>
      </c>
      <c r="F17" s="3" t="s">
        <v>59</v>
      </c>
      <c r="G17" s="12" t="str">
        <f t="shared" si="4"/>
        <v>55858.5540</v>
      </c>
      <c r="H17" s="10">
        <f t="shared" si="5"/>
        <v>6561.5</v>
      </c>
      <c r="I17" s="49" t="s">
        <v>86</v>
      </c>
      <c r="J17" s="50" t="s">
        <v>87</v>
      </c>
      <c r="K17" s="49" t="s">
        <v>88</v>
      </c>
      <c r="L17" s="49" t="s">
        <v>89</v>
      </c>
      <c r="M17" s="50" t="s">
        <v>64</v>
      </c>
      <c r="N17" s="50" t="s">
        <v>78</v>
      </c>
      <c r="O17" s="51" t="s">
        <v>79</v>
      </c>
      <c r="P17" s="52" t="s">
        <v>85</v>
      </c>
    </row>
    <row r="18" spans="1:16" x14ac:dyDescent="0.2">
      <c r="B18" s="3"/>
      <c r="F18" s="3"/>
    </row>
    <row r="19" spans="1:16" x14ac:dyDescent="0.2">
      <c r="B19" s="3"/>
      <c r="F19" s="3"/>
    </row>
    <row r="20" spans="1:16" x14ac:dyDescent="0.2">
      <c r="B20" s="3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</sheetData>
  <phoneticPr fontId="8" type="noConversion"/>
  <hyperlinks>
    <hyperlink ref="P11" r:id="rId1" display="http://www.konkoly.hu/cgi-bin/IBVS?5929"/>
    <hyperlink ref="P12" r:id="rId2" display="http://var.astro.cz/oejv/issues/oejv0137.pdf"/>
    <hyperlink ref="P15" r:id="rId3" display="http://var.astro.cz/oejv/issues/oejv0137.pdf"/>
    <hyperlink ref="P13" r:id="rId4" display="http://www.bav-astro.de/sfs/BAVM_link.php?BAVMnr=215"/>
    <hyperlink ref="P16" r:id="rId5" display="http://www.bav-astro.de/sfs/BAVM_link.php?BAVMnr=225"/>
    <hyperlink ref="P17" r:id="rId6" display="http://www.bav-astro.de/sfs/BAVM_link.php?BAVMnr=225"/>
    <hyperlink ref="P14" r:id="rId7" display="http://www.konkoly.hu/cgi-bin/IBVS?601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2024-01-20T04:49:15Z</dcterms:modified>
</cp:coreProperties>
</file>