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AA05C02-18BF-4F2B-BEAD-AE5E69E3163D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Q32" i="1" l="1"/>
  <c r="Q33" i="1"/>
  <c r="C13" i="1"/>
  <c r="Q31" i="1"/>
  <c r="Q22" i="1"/>
  <c r="Q23" i="1"/>
  <c r="Q24" i="1"/>
  <c r="Q25" i="1"/>
  <c r="Q26" i="1"/>
  <c r="Q27" i="1"/>
  <c r="Q28" i="1"/>
  <c r="Q29" i="1"/>
  <c r="Q30" i="1"/>
  <c r="C7" i="1"/>
  <c r="E32" i="1"/>
  <c r="F32" i="1"/>
  <c r="C8" i="1"/>
  <c r="E21" i="1"/>
  <c r="F21" i="1"/>
  <c r="G21" i="1"/>
  <c r="F12" i="1"/>
  <c r="D14" i="1"/>
  <c r="D13" i="1"/>
  <c r="C14" i="1"/>
  <c r="C17" i="1"/>
  <c r="Q21" i="1"/>
  <c r="H21" i="1"/>
  <c r="R21" i="1"/>
  <c r="E30" i="1"/>
  <c r="F30" i="1"/>
  <c r="E28" i="1"/>
  <c r="F28" i="1"/>
  <c r="G28" i="1"/>
  <c r="E26" i="1"/>
  <c r="F26" i="1"/>
  <c r="G26" i="1"/>
  <c r="E24" i="1"/>
  <c r="F24" i="1"/>
  <c r="E22" i="1"/>
  <c r="F22" i="1"/>
  <c r="E33" i="1"/>
  <c r="F33" i="1"/>
  <c r="G33" i="1"/>
  <c r="G29" i="1"/>
  <c r="G27" i="1"/>
  <c r="E31" i="1"/>
  <c r="F31" i="1"/>
  <c r="G31" i="1"/>
  <c r="E29" i="1"/>
  <c r="F29" i="1"/>
  <c r="E27" i="1"/>
  <c r="F27" i="1"/>
  <c r="E25" i="1"/>
  <c r="F25" i="1"/>
  <c r="G25" i="1"/>
  <c r="E23" i="1"/>
  <c r="F23" i="1"/>
  <c r="G23" i="1"/>
  <c r="G32" i="1"/>
  <c r="G30" i="1"/>
  <c r="G24" i="1"/>
  <c r="R23" i="1"/>
  <c r="H23" i="1"/>
  <c r="R28" i="1"/>
  <c r="H28" i="1"/>
  <c r="S25" i="1"/>
  <c r="H25" i="1"/>
  <c r="R26" i="1"/>
  <c r="H26" i="1"/>
  <c r="R31" i="1"/>
  <c r="H31" i="1"/>
  <c r="R30" i="1"/>
  <c r="H30" i="1"/>
  <c r="G22" i="1"/>
  <c r="K32" i="1"/>
  <c r="S32" i="1"/>
  <c r="R27" i="1"/>
  <c r="H27" i="1"/>
  <c r="R24" i="1"/>
  <c r="H24" i="1"/>
  <c r="S33" i="1"/>
  <c r="K33" i="1"/>
  <c r="S29" i="1"/>
  <c r="H29" i="1"/>
  <c r="H22" i="1"/>
  <c r="R22" i="1"/>
  <c r="S19" i="1"/>
  <c r="E19" i="1"/>
  <c r="R19" i="1"/>
  <c r="E18" i="1"/>
  <c r="C11" i="1"/>
  <c r="C12" i="1"/>
  <c r="D11" i="1"/>
  <c r="D12" i="1"/>
  <c r="D16" i="1" l="1"/>
  <c r="D19" i="1" s="1"/>
  <c r="P21" i="1"/>
  <c r="P27" i="1"/>
  <c r="P25" i="1"/>
  <c r="P33" i="1"/>
  <c r="D15" i="1"/>
  <c r="C19" i="1" s="1"/>
  <c r="P31" i="1"/>
  <c r="P24" i="1"/>
  <c r="P26" i="1"/>
  <c r="P32" i="1"/>
  <c r="P29" i="1"/>
  <c r="P30" i="1"/>
  <c r="P22" i="1"/>
  <c r="P23" i="1"/>
  <c r="P28" i="1"/>
  <c r="C16" i="1"/>
  <c r="D18" i="1" s="1"/>
  <c r="O33" i="1"/>
  <c r="O21" i="1"/>
  <c r="O25" i="1"/>
  <c r="O31" i="1"/>
  <c r="O23" i="1"/>
  <c r="O22" i="1"/>
  <c r="O26" i="1"/>
  <c r="O29" i="1"/>
  <c r="C15" i="1"/>
  <c r="O30" i="1"/>
  <c r="O28" i="1"/>
  <c r="O24" i="1"/>
  <c r="O27" i="1"/>
  <c r="O32" i="1"/>
  <c r="F13" i="1"/>
  <c r="F14" i="1" l="1"/>
  <c r="F15" i="1" s="1"/>
  <c r="C18" i="1"/>
</calcChain>
</file>

<file path=xl/sharedStrings.xml><?xml version="1.0" encoding="utf-8"?>
<sst xmlns="http://schemas.openxmlformats.org/spreadsheetml/2006/main" count="75" uniqueCount="58">
  <si>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</si>
  <si>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</si>
  <si>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</si>
  <si>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</si>
  <si>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</si>
  <si>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</si>
  <si>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</si>
  <si>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</si>
  <si>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</si>
  <si>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</si>
  <si>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</si>
  <si>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</si>
  <si>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</si>
  <si>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</si>
  <si>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</si>
  <si>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</si>
  <si>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</si>
  <si>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</si>
  <si>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</si>
  <si>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</si>
  <si>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</si>
  <si>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</si>
  <si>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</si>
  <si>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</si>
  <si>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S5</t>
  </si>
  <si>
    <t>na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</si>
  <si>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</si>
  <si>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</si>
  <si>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</si>
  <si>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</si>
  <si>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</si>
  <si>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</si>
  <si>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</si>
  <si>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</si>
  <si>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</si>
  <si>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</si>
  <si>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</si>
  <si>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</si>
  <si>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pg</t>
  </si>
  <si>
    <t>vis</t>
  </si>
  <si>
    <t>PE</t>
  </si>
  <si>
    <t>CCD</t>
  </si>
  <si>
    <t>V1018 Cas / GSC 4048-0934</t>
  </si>
  <si>
    <t>IBVS 5686 Eph.</t>
  </si>
  <si>
    <t>IBVS 5686</t>
  </si>
  <si>
    <t>G4048-0934_Cas.xls</t>
  </si>
  <si>
    <t>EA</t>
  </si>
  <si>
    <t>Eccentric orbit?</t>
  </si>
  <si>
    <t>IBVS 5894</t>
  </si>
  <si>
    <t>I</t>
  </si>
  <si>
    <t>IBVS 5960</t>
  </si>
  <si>
    <t>IBVS 6007</t>
  </si>
  <si>
    <t>IBVS 6011</t>
  </si>
  <si>
    <t>II</t>
  </si>
  <si>
    <t>IBVS 6152</t>
  </si>
  <si>
    <t>IBVS 6193</t>
  </si>
  <si>
    <t>OEJV 0179</t>
  </si>
  <si>
    <t>OEJV 0205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</si>
</sst>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10" fillId="0" borderId="0"/>
    <xf numFmtId="0" fontId="1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9" fillId="0" borderId="0" xfId="0" applyFont="1" applyAlignment="1"/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11" fillId="0" borderId="0" xfId="0" applyFont="1" applyAlignment="1"/>
    <xf numFmtId="0" fontId="11" fillId="0" borderId="0" xfId="0" applyFont="1">
      <alignment vertical="top"/>
    </xf>
    <xf numFmtId="0" fontId="11" fillId="0" borderId="0" xfId="0" applyFont="1" applyAlignment="1">
      <alignment horizontal="center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12" fillId="0" borderId="0" xfId="0" applyFont="1" applyAlignment="1">
      <alignment horizontal="center"/>
    </xf>
    <xf numFmtId="0" fontId="7" fillId="0" borderId="0" xfId="0" applyFont="1">
      <alignment vertical="top"/>
    </xf>
    <xf numFmtId="0" fontId="13" fillId="0" borderId="0" xfId="0" applyFont="1" applyAlignment="1">
      <alignment horizontal="center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3" fillId="0" borderId="0" xfId="0" applyFont="1">
      <alignment vertical="top"/>
    </xf>
    <xf numFmtId="0" fontId="12" fillId="0" borderId="0" xfId="0" applyFont="1" applyAlignment="1"/>
    <xf numFmtId="22" fontId="12" fillId="0" borderId="0" xfId="0" applyNumberFormat="1" applyFont="1">
      <alignment vertical="top"/>
    </xf>
    <xf numFmtId="0" fontId="12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5" fillId="0" borderId="1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4" fillId="0" borderId="0" xfId="0" applyFont="1" applyFill="1" applyBorder="1" applyAlignment="1">
      <alignment vertical="center"/>
    </xf>
    <xf numFmtId="0" fontId="5" fillId="24" borderId="11" xfId="0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0" fillId="0" borderId="5" xfId="0" applyFill="1" applyBorder="1" applyAlignment="1">
      <alignment vertical="center"/>
    </xf>
    <xf numFmtId="0" fontId="14" fillId="0" borderId="0" xfId="0" applyFont="1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8" fillId="0" borderId="0" xfId="41" applyFont="1" applyAlignment="1">
      <alignment wrapText="1"/>
    </xf>
    <xf numFmtId="0" fontId="18" fillId="0" borderId="0" xfId="41" applyFont="1" applyAlignment="1">
      <alignment horizontal="center" wrapText="1"/>
    </xf>
    <xf numFmtId="0" fontId="18" fillId="0" borderId="0" xfId="41" applyFont="1" applyAlignment="1">
      <alignment horizontal="left" wrapText="1"/>
    </xf>
    <xf numFmtId="0" fontId="18" fillId="0" borderId="0" xfId="42" applyFont="1"/>
    <xf numFmtId="0" fontId="18" fillId="0" borderId="0" xfId="42" applyFont="1" applyAlignment="1">
      <alignment horizontal="center"/>
    </xf>
    <xf numFmtId="0" fontId="18" fillId="0" borderId="0" xfId="42" applyFont="1" applyAlignment="1">
      <alignment horizontal="left"/>
    </xf>
    <xf numFmtId="0" fontId="5" fillId="0" borderId="0" xfId="41" applyFont="1" applyAlignment="1">
      <alignment wrapText="1"/>
    </xf>
    <xf numFmtId="0" fontId="5" fillId="0" borderId="0" xfId="41" applyFont="1" applyAlignment="1">
      <alignment horizontal="center" wrapText="1"/>
    </xf>
    <xf numFmtId="0" fontId="5" fillId="0" borderId="0" xfId="41" applyFont="1" applyAlignment="1">
      <alignment horizontal="left" wrapText="1"/>
    </xf>
    <xf numFmtId="0" fontId="19" fillId="0" borderId="0" xfId="41" applyFont="1"/>
    <xf numFmtId="0" fontId="19" fillId="0" borderId="0" xfId="41" applyFont="1" applyAlignment="1">
      <alignment horizontal="center"/>
    </xf>
    <xf numFmtId="0" fontId="19" fillId="0" borderId="0" xfId="41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200" b="1">
                <a:latin typeface="Arial" panose="020B0604020202020204" pitchFamily="34" charset="0"/>
                <a:cs typeface="Arial" panose="020B0604020202020204" pitchFamily="34" charset="0"/>
              </a:rPr>
              <a:t>V1018 Cas - O-C</a:t>
            </a:r>
            <a:r>
              <a:rPr lang="en-AU" sz="1200" b="1" baseline="0">
                <a:latin typeface="Arial" panose="020B0604020202020204" pitchFamily="34" charset="0"/>
                <a:cs typeface="Arial" panose="020B0604020202020204" pitchFamily="34" charset="0"/>
              </a:rPr>
              <a:t> Diagr</a:t>
            </a:r>
            <a:endParaRPr lang="en-AU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651568038531249E-2"/>
          <c:y val="0.1404155780952169"/>
          <c:w val="0.87134155910923505"/>
          <c:h val="0.5801308509761493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'Active 1'!$F$21:$F$677</c:f>
              <c:numCache>
                <c:formatCode>General</c:formatCode>
                <c:ptCount val="657"/>
                <c:pt idx="0">
                  <c:v>0</c:v>
                </c:pt>
                <c:pt idx="1">
                  <c:v>783</c:v>
                </c:pt>
                <c:pt idx="2">
                  <c:v>955</c:v>
                </c:pt>
                <c:pt idx="3">
                  <c:v>1025</c:v>
                </c:pt>
                <c:pt idx="4">
                  <c:v>1037.5</c:v>
                </c:pt>
                <c:pt idx="5">
                  <c:v>1049</c:v>
                </c:pt>
                <c:pt idx="6">
                  <c:v>1297</c:v>
                </c:pt>
                <c:pt idx="7">
                  <c:v>1291</c:v>
                </c:pt>
                <c:pt idx="8">
                  <c:v>1206.5</c:v>
                </c:pt>
                <c:pt idx="9">
                  <c:v>1313</c:v>
                </c:pt>
                <c:pt idx="10">
                  <c:v>1048</c:v>
                </c:pt>
                <c:pt idx="11">
                  <c:v>1565.5</c:v>
                </c:pt>
                <c:pt idx="12">
                  <c:v>1673.5</c:v>
                </c:pt>
              </c:numCache>
            </c:numRef>
          </c:xVal>
          <c:yVal>
            <c:numRef>
              <c:f>'Active 1'!$H$21:$H$677</c:f>
              <c:numCache>
                <c:formatCode>General</c:formatCode>
                <c:ptCount val="657"/>
                <c:pt idx="0">
                  <c:v>0</c:v>
                </c:pt>
                <c:pt idx="1">
                  <c:v>1.0800000003655441E-2</c:v>
                </c:pt>
                <c:pt idx="2">
                  <c:v>-1.799999998183921E-3</c:v>
                </c:pt>
                <c:pt idx="3">
                  <c:v>-8.3000000013271347E-3</c:v>
                </c:pt>
                <c:pt idx="4">
                  <c:v>-0.40649999999732245</c:v>
                </c:pt>
                <c:pt idx="5">
                  <c:v>-5.4999999993015081E-3</c:v>
                </c:pt>
                <c:pt idx="6">
                  <c:v>-1.7899999998917338E-2</c:v>
                </c:pt>
                <c:pt idx="7">
                  <c:v>-1.2799999996786937E-2</c:v>
                </c:pt>
                <c:pt idx="8">
                  <c:v>-0.41049999999813735</c:v>
                </c:pt>
                <c:pt idx="9">
                  <c:v>3.4599999999045394E-3</c:v>
                </c:pt>
                <c:pt idx="10">
                  <c:v>-2.2299999996903352E-2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EA-49CF-B6F4-B67F25791C41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'Active 1'!$F$21:$F$677</c:f>
              <c:numCache>
                <c:formatCode>General</c:formatCode>
                <c:ptCount val="657"/>
                <c:pt idx="0">
                  <c:v>0</c:v>
                </c:pt>
                <c:pt idx="1">
                  <c:v>783</c:v>
                </c:pt>
                <c:pt idx="2">
                  <c:v>955</c:v>
                </c:pt>
                <c:pt idx="3">
                  <c:v>1025</c:v>
                </c:pt>
                <c:pt idx="4">
                  <c:v>1037.5</c:v>
                </c:pt>
                <c:pt idx="5">
                  <c:v>1049</c:v>
                </c:pt>
                <c:pt idx="6">
                  <c:v>1297</c:v>
                </c:pt>
                <c:pt idx="7">
                  <c:v>1291</c:v>
                </c:pt>
                <c:pt idx="8">
                  <c:v>1206.5</c:v>
                </c:pt>
                <c:pt idx="9">
                  <c:v>1313</c:v>
                </c:pt>
                <c:pt idx="10">
                  <c:v>1048</c:v>
                </c:pt>
                <c:pt idx="11">
                  <c:v>1565.5</c:v>
                </c:pt>
                <c:pt idx="12">
                  <c:v>1673.5</c:v>
                </c:pt>
              </c:numCache>
            </c:numRef>
          </c:xVal>
          <c:yVal>
            <c:numRef>
              <c:f>'Active 1'!$I$21:$I$677</c:f>
              <c:numCache>
                <c:formatCode>General</c:formatCode>
                <c:ptCount val="6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EA-49CF-B6F4-B67F25791C41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'Active 1'!$F$21:$F$677</c:f>
              <c:numCache>
                <c:formatCode>General</c:formatCode>
                <c:ptCount val="657"/>
                <c:pt idx="0">
                  <c:v>0</c:v>
                </c:pt>
                <c:pt idx="1">
                  <c:v>783</c:v>
                </c:pt>
                <c:pt idx="2">
                  <c:v>955</c:v>
                </c:pt>
                <c:pt idx="3">
                  <c:v>1025</c:v>
                </c:pt>
                <c:pt idx="4">
                  <c:v>1037.5</c:v>
                </c:pt>
                <c:pt idx="5">
                  <c:v>1049</c:v>
                </c:pt>
                <c:pt idx="6">
                  <c:v>1297</c:v>
                </c:pt>
                <c:pt idx="7">
                  <c:v>1291</c:v>
                </c:pt>
                <c:pt idx="8">
                  <c:v>1206.5</c:v>
                </c:pt>
                <c:pt idx="9">
                  <c:v>1313</c:v>
                </c:pt>
                <c:pt idx="10">
                  <c:v>1048</c:v>
                </c:pt>
                <c:pt idx="11">
                  <c:v>1565.5</c:v>
                </c:pt>
                <c:pt idx="12">
                  <c:v>1673.5</c:v>
                </c:pt>
              </c:numCache>
            </c:numRef>
          </c:xVal>
          <c:yVal>
            <c:numRef>
              <c:f>'Active 1'!$J$21:$J$677</c:f>
              <c:numCache>
                <c:formatCode>General</c:formatCode>
                <c:ptCount val="6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EA-49CF-B6F4-B67F25791C41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'Active 1'!$F$21:$F$677</c:f>
              <c:numCache>
                <c:formatCode>General</c:formatCode>
                <c:ptCount val="657"/>
                <c:pt idx="0">
                  <c:v>0</c:v>
                </c:pt>
                <c:pt idx="1">
                  <c:v>783</c:v>
                </c:pt>
                <c:pt idx="2">
                  <c:v>955</c:v>
                </c:pt>
                <c:pt idx="3">
                  <c:v>1025</c:v>
                </c:pt>
                <c:pt idx="4">
                  <c:v>1037.5</c:v>
                </c:pt>
                <c:pt idx="5">
                  <c:v>1049</c:v>
                </c:pt>
                <c:pt idx="6">
                  <c:v>1297</c:v>
                </c:pt>
                <c:pt idx="7">
                  <c:v>1291</c:v>
                </c:pt>
                <c:pt idx="8">
                  <c:v>1206.5</c:v>
                </c:pt>
                <c:pt idx="9">
                  <c:v>1313</c:v>
                </c:pt>
                <c:pt idx="10">
                  <c:v>1048</c:v>
                </c:pt>
                <c:pt idx="11">
                  <c:v>1565.5</c:v>
                </c:pt>
                <c:pt idx="12">
                  <c:v>1673.5</c:v>
                </c:pt>
              </c:numCache>
            </c:numRef>
          </c:xVal>
          <c:yVal>
            <c:numRef>
              <c:f>'Active 1'!$K$21:$K$677</c:f>
              <c:numCache>
                <c:formatCode>General</c:formatCode>
                <c:ptCount val="657"/>
                <c:pt idx="11">
                  <c:v>-0.40939999999682186</c:v>
                </c:pt>
                <c:pt idx="12">
                  <c:v>-0.40954000000056112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EA-49CF-B6F4-B67F25791C41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'Active 1'!$F$21:$F$677</c:f>
              <c:numCache>
                <c:formatCode>General</c:formatCode>
                <c:ptCount val="657"/>
                <c:pt idx="0">
                  <c:v>0</c:v>
                </c:pt>
                <c:pt idx="1">
                  <c:v>783</c:v>
                </c:pt>
                <c:pt idx="2">
                  <c:v>955</c:v>
                </c:pt>
                <c:pt idx="3">
                  <c:v>1025</c:v>
                </c:pt>
                <c:pt idx="4">
                  <c:v>1037.5</c:v>
                </c:pt>
                <c:pt idx="5">
                  <c:v>1049</c:v>
                </c:pt>
                <c:pt idx="6">
                  <c:v>1297</c:v>
                </c:pt>
                <c:pt idx="7">
                  <c:v>1291</c:v>
                </c:pt>
                <c:pt idx="8">
                  <c:v>1206.5</c:v>
                </c:pt>
                <c:pt idx="9">
                  <c:v>1313</c:v>
                </c:pt>
                <c:pt idx="10">
                  <c:v>1048</c:v>
                </c:pt>
                <c:pt idx="11">
                  <c:v>1565.5</c:v>
                </c:pt>
                <c:pt idx="12">
                  <c:v>1673.5</c:v>
                </c:pt>
              </c:numCache>
            </c:numRef>
          </c:xVal>
          <c:yVal>
            <c:numRef>
              <c:f>'Active 1'!$L$21:$L$677</c:f>
              <c:numCache>
                <c:formatCode>General</c:formatCode>
                <c:ptCount val="6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EA-49CF-B6F4-B67F25791C41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'Active 1'!$F$21:$F$677</c:f>
              <c:numCache>
                <c:formatCode>General</c:formatCode>
                <c:ptCount val="657"/>
                <c:pt idx="0">
                  <c:v>0</c:v>
                </c:pt>
                <c:pt idx="1">
                  <c:v>783</c:v>
                </c:pt>
                <c:pt idx="2">
                  <c:v>955</c:v>
                </c:pt>
                <c:pt idx="3">
                  <c:v>1025</c:v>
                </c:pt>
                <c:pt idx="4">
                  <c:v>1037.5</c:v>
                </c:pt>
                <c:pt idx="5">
                  <c:v>1049</c:v>
                </c:pt>
                <c:pt idx="6">
                  <c:v>1297</c:v>
                </c:pt>
                <c:pt idx="7">
                  <c:v>1291</c:v>
                </c:pt>
                <c:pt idx="8">
                  <c:v>1206.5</c:v>
                </c:pt>
                <c:pt idx="9">
                  <c:v>1313</c:v>
                </c:pt>
                <c:pt idx="10">
                  <c:v>1048</c:v>
                </c:pt>
                <c:pt idx="11">
                  <c:v>1565.5</c:v>
                </c:pt>
                <c:pt idx="12">
                  <c:v>1673.5</c:v>
                </c:pt>
              </c:numCache>
            </c:numRef>
          </c:xVal>
          <c:yVal>
            <c:numRef>
              <c:f>'Active 1'!$M$21:$M$677</c:f>
              <c:numCache>
                <c:formatCode>General</c:formatCode>
                <c:ptCount val="6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EA-49CF-B6F4-B67F25791C41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'Active 1'!$F$21:$F$677</c:f>
              <c:numCache>
                <c:formatCode>General</c:formatCode>
                <c:ptCount val="657"/>
                <c:pt idx="0">
                  <c:v>0</c:v>
                </c:pt>
                <c:pt idx="1">
                  <c:v>783</c:v>
                </c:pt>
                <c:pt idx="2">
                  <c:v>955</c:v>
                </c:pt>
                <c:pt idx="3">
                  <c:v>1025</c:v>
                </c:pt>
                <c:pt idx="4">
                  <c:v>1037.5</c:v>
                </c:pt>
                <c:pt idx="5">
                  <c:v>1049</c:v>
                </c:pt>
                <c:pt idx="6">
                  <c:v>1297</c:v>
                </c:pt>
                <c:pt idx="7">
                  <c:v>1291</c:v>
                </c:pt>
                <c:pt idx="8">
                  <c:v>1206.5</c:v>
                </c:pt>
                <c:pt idx="9">
                  <c:v>1313</c:v>
                </c:pt>
                <c:pt idx="10">
                  <c:v>1048</c:v>
                </c:pt>
                <c:pt idx="11">
                  <c:v>1565.5</c:v>
                </c:pt>
                <c:pt idx="12">
                  <c:v>1673.5</c:v>
                </c:pt>
              </c:numCache>
            </c:numRef>
          </c:xVal>
          <c:yVal>
            <c:numRef>
              <c:f>'Active 1'!$N$21:$N$677</c:f>
              <c:numCache>
                <c:formatCode>General</c:formatCode>
                <c:ptCount val="6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EA-49CF-B6F4-B67F25791C41}"/>
            </c:ext>
          </c:extLst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axId val="769850688"/>
        <c:axId val="769851768"/>
      </c:scatterChart>
      <c:valAx>
        <c:axId val="76985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Cycle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851768"/>
        <c:crosses val="autoZero"/>
        <c:crossBetween val="midCat"/>
      </c:valAx>
      <c:valAx>
        <c:axId val="76985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O-C (Days)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85068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V1018 Cas - Prim. O-C Diagr.</a:t>
            </a:r>
          </a:p>
        </c:rich>
      </c:tx>
      <c:layout>
        <c:manualLayout>
          <c:xMode val="edge"/>
          <c:yMode val="edge"/>
          <c:x val="0.27234949061720715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6715254591726412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783</c:v>
                </c:pt>
                <c:pt idx="2">
                  <c:v>955</c:v>
                </c:pt>
                <c:pt idx="3">
                  <c:v>1025</c:v>
                </c:pt>
                <c:pt idx="4">
                  <c:v>1037.5</c:v>
                </c:pt>
                <c:pt idx="5">
                  <c:v>1049</c:v>
                </c:pt>
                <c:pt idx="6">
                  <c:v>1297</c:v>
                </c:pt>
                <c:pt idx="7">
                  <c:v>1291</c:v>
                </c:pt>
                <c:pt idx="8">
                  <c:v>1206.5</c:v>
                </c:pt>
                <c:pt idx="9">
                  <c:v>1313</c:v>
                </c:pt>
                <c:pt idx="10">
                  <c:v>1048</c:v>
                </c:pt>
                <c:pt idx="11">
                  <c:v>1565.5</c:v>
                </c:pt>
                <c:pt idx="12">
                  <c:v>1673.5</c:v>
                </c:pt>
              </c:numCache>
            </c:numRef>
          </c:xVal>
          <c:yVal>
            <c:numRef>
              <c:f>'Active 1'!$R$21:$R$921</c:f>
              <c:numCache>
                <c:formatCode>General</c:formatCode>
                <c:ptCount val="901"/>
                <c:pt idx="0">
                  <c:v>0</c:v>
                </c:pt>
                <c:pt idx="1">
                  <c:v>1.0800000003655441E-2</c:v>
                </c:pt>
                <c:pt idx="2">
                  <c:v>-1.799999998183921E-3</c:v>
                </c:pt>
                <c:pt idx="3">
                  <c:v>-8.3000000013271347E-3</c:v>
                </c:pt>
                <c:pt idx="5">
                  <c:v>-5.4999999993015081E-3</c:v>
                </c:pt>
                <c:pt idx="6">
                  <c:v>-1.7899999998917338E-2</c:v>
                </c:pt>
                <c:pt idx="7">
                  <c:v>-1.2799999996786937E-2</c:v>
                </c:pt>
                <c:pt idx="9">
                  <c:v>3.4599999999045394E-3</c:v>
                </c:pt>
                <c:pt idx="10">
                  <c:v>-2.2299999996903352E-2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6B-480A-8F8D-5050121AEE14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783</c:v>
                </c:pt>
                <c:pt idx="2">
                  <c:v>955</c:v>
                </c:pt>
                <c:pt idx="3">
                  <c:v>1025</c:v>
                </c:pt>
                <c:pt idx="4">
                  <c:v>1037.5</c:v>
                </c:pt>
                <c:pt idx="5">
                  <c:v>1049</c:v>
                </c:pt>
                <c:pt idx="6">
                  <c:v>1297</c:v>
                </c:pt>
                <c:pt idx="7">
                  <c:v>1291</c:v>
                </c:pt>
                <c:pt idx="8">
                  <c:v>1206.5</c:v>
                </c:pt>
                <c:pt idx="9">
                  <c:v>1313</c:v>
                </c:pt>
                <c:pt idx="10">
                  <c:v>1048</c:v>
                </c:pt>
                <c:pt idx="11">
                  <c:v>1565.5</c:v>
                </c:pt>
                <c:pt idx="12">
                  <c:v>1673.5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3.7125985235121669E-3</c:v>
                </c:pt>
                <c:pt idx="1">
                  <c:v>-4.1302164274848417E-3</c:v>
                </c:pt>
                <c:pt idx="2">
                  <c:v>-5.8530314614203272E-3</c:v>
                </c:pt>
                <c:pt idx="3">
                  <c:v>-6.5541771147661649E-3</c:v>
                </c:pt>
                <c:pt idx="4">
                  <c:v>-6.6793816957207777E-3</c:v>
                </c:pt>
                <c:pt idx="5">
                  <c:v>-6.7945699101990224E-3</c:v>
                </c:pt>
                <c:pt idx="6">
                  <c:v>-9.2786287963385599E-3</c:v>
                </c:pt>
                <c:pt idx="7">
                  <c:v>-9.2185305974803455E-3</c:v>
                </c:pt>
                <c:pt idx="8">
                  <c:v>-8.3721476302271568E-3</c:v>
                </c:pt>
                <c:pt idx="9">
                  <c:v>-9.4388906599604666E-3</c:v>
                </c:pt>
                <c:pt idx="10">
                  <c:v>-6.7845535437226542E-3</c:v>
                </c:pt>
                <c:pt idx="11">
                  <c:v>-1.1968023195243664E-2</c:v>
                </c:pt>
                <c:pt idx="12">
                  <c:v>-1.3049790774691527E-2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6B-480A-8F8D-5050121AE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244752"/>
        <c:axId val="1"/>
      </c:scatterChart>
      <c:valAx>
        <c:axId val="713244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0669646023976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244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956384609927915"/>
          <c:y val="0.92073298764483702"/>
          <c:w val="0.3035345218022383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V1018 Cas - Sec. O-C Diagr.</a:t>
            </a:r>
          </a:p>
        </c:rich>
      </c:tx>
      <c:layout>
        <c:manualLayout>
          <c:xMode val="edge"/>
          <c:yMode val="edge"/>
          <c:x val="0.28163286732015641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67365241714406"/>
          <c:y val="0.1458966565349544"/>
          <c:w val="0.75918442999086211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783</c:v>
                </c:pt>
                <c:pt idx="2">
                  <c:v>955</c:v>
                </c:pt>
                <c:pt idx="3">
                  <c:v>1025</c:v>
                </c:pt>
                <c:pt idx="4">
                  <c:v>1037.5</c:v>
                </c:pt>
                <c:pt idx="5">
                  <c:v>1049</c:v>
                </c:pt>
                <c:pt idx="6">
                  <c:v>1297</c:v>
                </c:pt>
                <c:pt idx="7">
                  <c:v>1291</c:v>
                </c:pt>
                <c:pt idx="8">
                  <c:v>1206.5</c:v>
                </c:pt>
                <c:pt idx="9">
                  <c:v>1313</c:v>
                </c:pt>
                <c:pt idx="10">
                  <c:v>1048</c:v>
                </c:pt>
                <c:pt idx="11">
                  <c:v>1565.5</c:v>
                </c:pt>
                <c:pt idx="12">
                  <c:v>1673.5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  <c:pt idx="4">
                  <c:v>-0.40649999999732245</c:v>
                </c:pt>
                <c:pt idx="8">
                  <c:v>-0.41049999999813735</c:v>
                </c:pt>
                <c:pt idx="11">
                  <c:v>-0.40939999999682186</c:v>
                </c:pt>
                <c:pt idx="12">
                  <c:v>-0.40954000000056112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AD-4B56-B5A2-02F4D28AEB21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783</c:v>
                </c:pt>
                <c:pt idx="2">
                  <c:v>955</c:v>
                </c:pt>
                <c:pt idx="3">
                  <c:v>1025</c:v>
                </c:pt>
                <c:pt idx="4">
                  <c:v>1037.5</c:v>
                </c:pt>
                <c:pt idx="5">
                  <c:v>1049</c:v>
                </c:pt>
                <c:pt idx="6">
                  <c:v>1297</c:v>
                </c:pt>
                <c:pt idx="7">
                  <c:v>1291</c:v>
                </c:pt>
                <c:pt idx="8">
                  <c:v>1206.5</c:v>
                </c:pt>
                <c:pt idx="9">
                  <c:v>1313</c:v>
                </c:pt>
                <c:pt idx="10">
                  <c:v>1048</c:v>
                </c:pt>
                <c:pt idx="11">
                  <c:v>1565.5</c:v>
                </c:pt>
                <c:pt idx="12">
                  <c:v>1673.5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-0.40474327159810075</c:v>
                </c:pt>
                <c:pt idx="1">
                  <c:v>-0.40716623226728632</c:v>
                </c:pt>
                <c:pt idx="2">
                  <c:v>-0.40769847905540879</c:v>
                </c:pt>
                <c:pt idx="3">
                  <c:v>-0.40791509112034235</c:v>
                </c:pt>
                <c:pt idx="4">
                  <c:v>-0.40795377184622339</c:v>
                </c:pt>
                <c:pt idx="5">
                  <c:v>-0.40798935811403386</c:v>
                </c:pt>
                <c:pt idx="6">
                  <c:v>-0.40875678371551283</c:v>
                </c:pt>
                <c:pt idx="7">
                  <c:v>-0.40873821696708995</c:v>
                </c:pt>
                <c:pt idx="8">
                  <c:v>-0.40847673526013445</c:v>
                </c:pt>
                <c:pt idx="9">
                  <c:v>-0.4088062950446405</c:v>
                </c:pt>
                <c:pt idx="10">
                  <c:v>-0.40798626365596341</c:v>
                </c:pt>
                <c:pt idx="11">
                  <c:v>-0.40958764570743661</c:v>
                </c:pt>
                <c:pt idx="12">
                  <c:v>-0.40992184717904839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AD-4B56-B5A2-02F4D28AE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663856"/>
        <c:axId val="1"/>
      </c:scatterChart>
      <c:valAx>
        <c:axId val="581663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469430606888424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1663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795961219133319"/>
          <c:y val="0.92097264437689974"/>
          <c:w val="0.33061267341582296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V1018 Cas - O-C Diagr.</a:t>
            </a:r>
          </a:p>
        </c:rich>
      </c:tx>
      <c:layout>
        <c:manualLayout>
          <c:xMode val="edge"/>
          <c:yMode val="edge"/>
          <c:x val="0.356451612903225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145161290322581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'Active 1'!$D$21:$D$494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1.8E-3</c:v>
                  </c:pt>
                  <c:pt idx="2">
                    <c:v>1.1000000000000001E-3</c:v>
                  </c:pt>
                  <c:pt idx="3">
                    <c:v>3.3E-4</c:v>
                  </c:pt>
                  <c:pt idx="4">
                    <c:v>8.0000000000000002E-3</c:v>
                  </c:pt>
                  <c:pt idx="5">
                    <c:v>1.1000000000000001E-3</c:v>
                  </c:pt>
                  <c:pt idx="6">
                    <c:v>9.2999999999999992E-3</c:v>
                  </c:pt>
                  <c:pt idx="8">
                    <c:v>4.1000000000000003E-3</c:v>
                  </c:pt>
                  <c:pt idx="9">
                    <c:v>1.4E-3</c:v>
                  </c:pt>
                  <c:pt idx="10">
                    <c:v>1E-4</c:v>
                  </c:pt>
                  <c:pt idx="11">
                    <c:v>8.4000000000000003E-4</c:v>
                  </c:pt>
                  <c:pt idx="12">
                    <c:v>7.1000000000000002E-4</c:v>
                  </c:pt>
                </c:numCache>
              </c:numRef>
            </c:plus>
            <c:minus>
              <c:numRef>
                <c:f>'Active 1'!$D$21:$D$494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1.8E-3</c:v>
                  </c:pt>
                  <c:pt idx="2">
                    <c:v>1.1000000000000001E-3</c:v>
                  </c:pt>
                  <c:pt idx="3">
                    <c:v>3.3E-4</c:v>
                  </c:pt>
                  <c:pt idx="4">
                    <c:v>8.0000000000000002E-3</c:v>
                  </c:pt>
                  <c:pt idx="5">
                    <c:v>1.1000000000000001E-3</c:v>
                  </c:pt>
                  <c:pt idx="6">
                    <c:v>9.2999999999999992E-3</c:v>
                  </c:pt>
                  <c:pt idx="8">
                    <c:v>4.1000000000000003E-3</c:v>
                  </c:pt>
                  <c:pt idx="9">
                    <c:v>1.4E-3</c:v>
                  </c:pt>
                  <c:pt idx="10">
                    <c:v>1E-4</c:v>
                  </c:pt>
                  <c:pt idx="11">
                    <c:v>8.4000000000000003E-4</c:v>
                  </c:pt>
                  <c:pt idx="12">
                    <c:v>7.1000000000000002E-4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783</c:v>
                </c:pt>
                <c:pt idx="2">
                  <c:v>955</c:v>
                </c:pt>
                <c:pt idx="3">
                  <c:v>1025</c:v>
                </c:pt>
                <c:pt idx="4">
                  <c:v>1037.5</c:v>
                </c:pt>
                <c:pt idx="5">
                  <c:v>1049</c:v>
                </c:pt>
                <c:pt idx="6">
                  <c:v>1297</c:v>
                </c:pt>
                <c:pt idx="7">
                  <c:v>1291</c:v>
                </c:pt>
                <c:pt idx="8">
                  <c:v>1206.5</c:v>
                </c:pt>
                <c:pt idx="9">
                  <c:v>1313</c:v>
                </c:pt>
                <c:pt idx="10">
                  <c:v>1048</c:v>
                </c:pt>
                <c:pt idx="11">
                  <c:v>1565.5</c:v>
                </c:pt>
                <c:pt idx="12">
                  <c:v>1673.5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0">
                  <c:v>0</c:v>
                </c:pt>
                <c:pt idx="1">
                  <c:v>1.0800000003655441E-2</c:v>
                </c:pt>
                <c:pt idx="2">
                  <c:v>-1.799999998183921E-3</c:v>
                </c:pt>
                <c:pt idx="3">
                  <c:v>-8.3000000013271347E-3</c:v>
                </c:pt>
                <c:pt idx="4">
                  <c:v>-0.40649999999732245</c:v>
                </c:pt>
                <c:pt idx="5">
                  <c:v>-5.4999999993015081E-3</c:v>
                </c:pt>
                <c:pt idx="6">
                  <c:v>-1.7899999998917338E-2</c:v>
                </c:pt>
                <c:pt idx="7">
                  <c:v>-1.2799999996786937E-2</c:v>
                </c:pt>
                <c:pt idx="8">
                  <c:v>-0.41049999999813735</c:v>
                </c:pt>
                <c:pt idx="9">
                  <c:v>3.4599999999045394E-3</c:v>
                </c:pt>
                <c:pt idx="10">
                  <c:v>-2.2299999996903352E-2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BD-4000-A7E6-EF742362CC4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783</c:v>
                </c:pt>
                <c:pt idx="2">
                  <c:v>955</c:v>
                </c:pt>
                <c:pt idx="3">
                  <c:v>1025</c:v>
                </c:pt>
                <c:pt idx="4">
                  <c:v>1037.5</c:v>
                </c:pt>
                <c:pt idx="5">
                  <c:v>1049</c:v>
                </c:pt>
                <c:pt idx="6">
                  <c:v>1297</c:v>
                </c:pt>
                <c:pt idx="7">
                  <c:v>1291</c:v>
                </c:pt>
                <c:pt idx="8">
                  <c:v>1206.5</c:v>
                </c:pt>
                <c:pt idx="9">
                  <c:v>1313</c:v>
                </c:pt>
                <c:pt idx="10">
                  <c:v>1048</c:v>
                </c:pt>
                <c:pt idx="11">
                  <c:v>1565.5</c:v>
                </c:pt>
                <c:pt idx="12">
                  <c:v>1673.5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BD-4000-A7E6-EF742362CC4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783</c:v>
                </c:pt>
                <c:pt idx="2">
                  <c:v>955</c:v>
                </c:pt>
                <c:pt idx="3">
                  <c:v>1025</c:v>
                </c:pt>
                <c:pt idx="4">
                  <c:v>1037.5</c:v>
                </c:pt>
                <c:pt idx="5">
                  <c:v>1049</c:v>
                </c:pt>
                <c:pt idx="6">
                  <c:v>1297</c:v>
                </c:pt>
                <c:pt idx="7">
                  <c:v>1291</c:v>
                </c:pt>
                <c:pt idx="8">
                  <c:v>1206.5</c:v>
                </c:pt>
                <c:pt idx="9">
                  <c:v>1313</c:v>
                </c:pt>
                <c:pt idx="10">
                  <c:v>1048</c:v>
                </c:pt>
                <c:pt idx="11">
                  <c:v>1565.5</c:v>
                </c:pt>
                <c:pt idx="12">
                  <c:v>1673.5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BD-4000-A7E6-EF742362CC4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783</c:v>
                </c:pt>
                <c:pt idx="2">
                  <c:v>955</c:v>
                </c:pt>
                <c:pt idx="3">
                  <c:v>1025</c:v>
                </c:pt>
                <c:pt idx="4">
                  <c:v>1037.5</c:v>
                </c:pt>
                <c:pt idx="5">
                  <c:v>1049</c:v>
                </c:pt>
                <c:pt idx="6">
                  <c:v>1297</c:v>
                </c:pt>
                <c:pt idx="7">
                  <c:v>1291</c:v>
                </c:pt>
                <c:pt idx="8">
                  <c:v>1206.5</c:v>
                </c:pt>
                <c:pt idx="9">
                  <c:v>1313</c:v>
                </c:pt>
                <c:pt idx="10">
                  <c:v>1048</c:v>
                </c:pt>
                <c:pt idx="11">
                  <c:v>1565.5</c:v>
                </c:pt>
                <c:pt idx="12">
                  <c:v>1673.5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  <c:pt idx="11">
                  <c:v>-0.40939999999682186</c:v>
                </c:pt>
                <c:pt idx="12">
                  <c:v>-0.40954000000056112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BD-4000-A7E6-EF742362CC4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783</c:v>
                </c:pt>
                <c:pt idx="2">
                  <c:v>955</c:v>
                </c:pt>
                <c:pt idx="3">
                  <c:v>1025</c:v>
                </c:pt>
                <c:pt idx="4">
                  <c:v>1037.5</c:v>
                </c:pt>
                <c:pt idx="5">
                  <c:v>1049</c:v>
                </c:pt>
                <c:pt idx="6">
                  <c:v>1297</c:v>
                </c:pt>
                <c:pt idx="7">
                  <c:v>1291</c:v>
                </c:pt>
                <c:pt idx="8">
                  <c:v>1206.5</c:v>
                </c:pt>
                <c:pt idx="9">
                  <c:v>1313</c:v>
                </c:pt>
                <c:pt idx="10">
                  <c:v>1048</c:v>
                </c:pt>
                <c:pt idx="11">
                  <c:v>1565.5</c:v>
                </c:pt>
                <c:pt idx="12">
                  <c:v>1673.5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BD-4000-A7E6-EF742362CC4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783</c:v>
                </c:pt>
                <c:pt idx="2">
                  <c:v>955</c:v>
                </c:pt>
                <c:pt idx="3">
                  <c:v>1025</c:v>
                </c:pt>
                <c:pt idx="4">
                  <c:v>1037.5</c:v>
                </c:pt>
                <c:pt idx="5">
                  <c:v>1049</c:v>
                </c:pt>
                <c:pt idx="6">
                  <c:v>1297</c:v>
                </c:pt>
                <c:pt idx="7">
                  <c:v>1291</c:v>
                </c:pt>
                <c:pt idx="8">
                  <c:v>1206.5</c:v>
                </c:pt>
                <c:pt idx="9">
                  <c:v>1313</c:v>
                </c:pt>
                <c:pt idx="10">
                  <c:v>1048</c:v>
                </c:pt>
                <c:pt idx="11">
                  <c:v>1565.5</c:v>
                </c:pt>
                <c:pt idx="12">
                  <c:v>1673.5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BD-4000-A7E6-EF742362CC4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783</c:v>
                </c:pt>
                <c:pt idx="2">
                  <c:v>955</c:v>
                </c:pt>
                <c:pt idx="3">
                  <c:v>1025</c:v>
                </c:pt>
                <c:pt idx="4">
                  <c:v>1037.5</c:v>
                </c:pt>
                <c:pt idx="5">
                  <c:v>1049</c:v>
                </c:pt>
                <c:pt idx="6">
                  <c:v>1297</c:v>
                </c:pt>
                <c:pt idx="7">
                  <c:v>1291</c:v>
                </c:pt>
                <c:pt idx="8">
                  <c:v>1206.5</c:v>
                </c:pt>
                <c:pt idx="9">
                  <c:v>1313</c:v>
                </c:pt>
                <c:pt idx="10">
                  <c:v>1048</c:v>
                </c:pt>
                <c:pt idx="11">
                  <c:v>1565.5</c:v>
                </c:pt>
                <c:pt idx="12">
                  <c:v>1673.5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BD-4000-A7E6-EF742362CC4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783</c:v>
                </c:pt>
                <c:pt idx="2">
                  <c:v>955</c:v>
                </c:pt>
                <c:pt idx="3">
                  <c:v>1025</c:v>
                </c:pt>
                <c:pt idx="4">
                  <c:v>1037.5</c:v>
                </c:pt>
                <c:pt idx="5">
                  <c:v>1049</c:v>
                </c:pt>
                <c:pt idx="6">
                  <c:v>1297</c:v>
                </c:pt>
                <c:pt idx="7">
                  <c:v>1291</c:v>
                </c:pt>
                <c:pt idx="8">
                  <c:v>1206.5</c:v>
                </c:pt>
                <c:pt idx="9">
                  <c:v>1313</c:v>
                </c:pt>
                <c:pt idx="10">
                  <c:v>1048</c:v>
                </c:pt>
                <c:pt idx="11">
                  <c:v>1565.5</c:v>
                </c:pt>
                <c:pt idx="12">
                  <c:v>1673.5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3.7125985235121669E-3</c:v>
                </c:pt>
                <c:pt idx="1">
                  <c:v>-4.1302164274848417E-3</c:v>
                </c:pt>
                <c:pt idx="2">
                  <c:v>-5.8530314614203272E-3</c:v>
                </c:pt>
                <c:pt idx="3">
                  <c:v>-6.5541771147661649E-3</c:v>
                </c:pt>
                <c:pt idx="4">
                  <c:v>-6.6793816957207777E-3</c:v>
                </c:pt>
                <c:pt idx="5">
                  <c:v>-6.7945699101990224E-3</c:v>
                </c:pt>
                <c:pt idx="6">
                  <c:v>-9.2786287963385599E-3</c:v>
                </c:pt>
                <c:pt idx="7">
                  <c:v>-9.2185305974803455E-3</c:v>
                </c:pt>
                <c:pt idx="8">
                  <c:v>-8.3721476302271568E-3</c:v>
                </c:pt>
                <c:pt idx="9">
                  <c:v>-9.4388906599604666E-3</c:v>
                </c:pt>
                <c:pt idx="10">
                  <c:v>-6.7845535437226542E-3</c:v>
                </c:pt>
                <c:pt idx="11">
                  <c:v>-1.1968023195243664E-2</c:v>
                </c:pt>
                <c:pt idx="12">
                  <c:v>-1.3049790774691527E-2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BD-4000-A7E6-EF742362CC4D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0</c:v>
                </c:pt>
                <c:pt idx="1">
                  <c:v>783</c:v>
                </c:pt>
                <c:pt idx="2">
                  <c:v>955</c:v>
                </c:pt>
                <c:pt idx="3">
                  <c:v>1025</c:v>
                </c:pt>
                <c:pt idx="4">
                  <c:v>1037.5</c:v>
                </c:pt>
                <c:pt idx="5">
                  <c:v>1049</c:v>
                </c:pt>
                <c:pt idx="6">
                  <c:v>1297</c:v>
                </c:pt>
                <c:pt idx="7">
                  <c:v>1291</c:v>
                </c:pt>
                <c:pt idx="8">
                  <c:v>1206.5</c:v>
                </c:pt>
                <c:pt idx="9">
                  <c:v>1313</c:v>
                </c:pt>
                <c:pt idx="10">
                  <c:v>1048</c:v>
                </c:pt>
                <c:pt idx="11">
                  <c:v>1565.5</c:v>
                </c:pt>
                <c:pt idx="12">
                  <c:v>1673.5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-0.40474327159810075</c:v>
                </c:pt>
                <c:pt idx="1">
                  <c:v>-0.40716623226728632</c:v>
                </c:pt>
                <c:pt idx="2">
                  <c:v>-0.40769847905540879</c:v>
                </c:pt>
                <c:pt idx="3">
                  <c:v>-0.40791509112034235</c:v>
                </c:pt>
                <c:pt idx="4">
                  <c:v>-0.40795377184622339</c:v>
                </c:pt>
                <c:pt idx="5">
                  <c:v>-0.40798935811403386</c:v>
                </c:pt>
                <c:pt idx="6">
                  <c:v>-0.40875678371551283</c:v>
                </c:pt>
                <c:pt idx="7">
                  <c:v>-0.40873821696708995</c:v>
                </c:pt>
                <c:pt idx="8">
                  <c:v>-0.40847673526013445</c:v>
                </c:pt>
                <c:pt idx="9">
                  <c:v>-0.4088062950446405</c:v>
                </c:pt>
                <c:pt idx="10">
                  <c:v>-0.40798626365596341</c:v>
                </c:pt>
                <c:pt idx="11">
                  <c:v>-0.40958764570743661</c:v>
                </c:pt>
                <c:pt idx="12">
                  <c:v>-0.40992184717904839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BD-4000-A7E6-EF742362C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236552"/>
        <c:axId val="1"/>
      </c:scatterChart>
      <c:valAx>
        <c:axId val="713236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80645161290318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236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516129032258066"/>
          <c:y val="0.92097264437689974"/>
          <c:w val="0.8032258064516129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18</xdr:col>
      <xdr:colOff>476250</xdr:colOff>
      <xdr:row>17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BB6AA7-3580-EC5A-A4F6-4C61AABC32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26</xdr:col>
      <xdr:colOff>38100</xdr:colOff>
      <xdr:row>19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179727-F411-1AEF-2FEF-5A558E69CD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38099</xdr:colOff>
      <xdr:row>22</xdr:row>
      <xdr:rowOff>0</xdr:rowOff>
    </xdr:from>
    <xdr:to>
      <xdr:col>25</xdr:col>
      <xdr:colOff>600074</xdr:colOff>
      <xdr:row>39</xdr:row>
      <xdr:rowOff>114300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7C3A196F-A2A7-856F-4E63-08679BC015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0</xdr:row>
      <xdr:rowOff>0</xdr:rowOff>
    </xdr:from>
    <xdr:to>
      <xdr:col>9</xdr:col>
      <xdr:colOff>514350</xdr:colOff>
      <xdr:row>19</xdr:row>
      <xdr:rowOff>57150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F69499D0-AB60-0AFC-E872-35B1884008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0.42578125" customWidth="1"/>
    <col min="4" max="4" width="8.28515625" customWidth="1"/>
    <col min="5" max="5" width="9.42578125" customWidth="1"/>
    <col min="6" max="6" width="16.425781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1"/>
      <c r="F1" s="32"/>
      <c r="G1" s="31"/>
      <c r="H1" s="33" t="s">
        <v>43</v>
      </c>
      <c r="I1" s="34">
        <v>51601.625</v>
      </c>
      <c r="J1" s="34">
        <v>4.1277999999999997</v>
      </c>
      <c r="K1" s="35" t="s">
        <v>44</v>
      </c>
      <c r="L1" s="36" t="s">
        <v>45</v>
      </c>
    </row>
    <row r="2" spans="1:12" x14ac:dyDescent="0.2">
      <c r="A2" t="s">
        <v>15</v>
      </c>
      <c r="B2" t="s">
        <v>46</v>
      </c>
      <c r="C2" s="11"/>
      <c r="D2" s="13"/>
    </row>
    <row r="3" spans="1:12" ht="13.5" thickBot="1" x14ac:dyDescent="0.25">
      <c r="C3" s="10" t="s">
        <v>47</v>
      </c>
    </row>
    <row r="4" spans="1:12" ht="14.25" thickTop="1" thickBot="1" x14ac:dyDescent="0.25">
      <c r="A4" s="37" t="s">
        <v>43</v>
      </c>
      <c r="C4" s="38">
        <v>51601.625</v>
      </c>
      <c r="D4" s="39">
        <v>4.1277999999999997</v>
      </c>
    </row>
    <row r="5" spans="1:12" ht="13.5" thickTop="1" x14ac:dyDescent="0.2">
      <c r="A5" s="24" t="s">
        <v>30</v>
      </c>
      <c r="B5" s="18"/>
      <c r="C5" s="25">
        <v>-9.5</v>
      </c>
      <c r="D5" s="18" t="s">
        <v>31</v>
      </c>
    </row>
    <row r="6" spans="1:12" x14ac:dyDescent="0.2">
      <c r="A6" s="6" t="s">
        <v>0</v>
      </c>
    </row>
    <row r="7" spans="1:12" x14ac:dyDescent="0.2">
      <c r="A7" t="s">
        <v>1</v>
      </c>
      <c r="C7">
        <f>+C4</f>
        <v>51601.625</v>
      </c>
    </row>
    <row r="8" spans="1:12" x14ac:dyDescent="0.2">
      <c r="A8" t="s">
        <v>2</v>
      </c>
      <c r="C8">
        <f>D4</f>
        <v>4.1277999999999997</v>
      </c>
    </row>
    <row r="9" spans="1:12" x14ac:dyDescent="0.2">
      <c r="A9" s="16" t="s">
        <v>27</v>
      </c>
      <c r="B9" s="16"/>
      <c r="C9" s="17">
        <v>21</v>
      </c>
      <c r="D9" s="17">
        <v>21</v>
      </c>
    </row>
    <row r="10" spans="1:12" ht="13.5" thickBot="1" x14ac:dyDescent="0.25">
      <c r="A10" s="18"/>
      <c r="B10" s="18"/>
      <c r="C10" s="5" t="s">
        <v>17</v>
      </c>
      <c r="D10" s="5" t="s">
        <v>18</v>
      </c>
    </row>
    <row r="11" spans="1:12" x14ac:dyDescent="0.2">
      <c r="A11" s="18" t="s">
        <v>12</v>
      </c>
      <c r="B11" s="18"/>
      <c r="C11" s="19">
        <f ca="1">INTERCEPT(INDIRECT(C14):R$935,INDIRECT(C13):$F$935)</f>
        <v>3.7125985235121669E-3</v>
      </c>
      <c r="D11" s="19">
        <f ca="1">INTERCEPT(INDIRECT(D14):S$935,INDIRECT(D13):$F$935)</f>
        <v>-0.40474327159810075</v>
      </c>
      <c r="E11" s="16" t="s">
        <v>33</v>
      </c>
      <c r="F11">
        <v>1</v>
      </c>
    </row>
    <row r="12" spans="1:12" x14ac:dyDescent="0.2">
      <c r="A12" s="18" t="s">
        <v>13</v>
      </c>
      <c r="B12" s="18"/>
      <c r="C12" s="19">
        <f ca="1">SLOPE(INDIRECT(C14):R$935,INDIRECT(C13):$F$935)</f>
        <v>-1.0016366476369103E-5</v>
      </c>
      <c r="D12" s="19">
        <f ca="1">SLOPE(INDIRECT(D14):S$935,INDIRECT(D13):$F$935)</f>
        <v>-3.0944580704796319E-6</v>
      </c>
      <c r="E12" s="16" t="s">
        <v>34</v>
      </c>
      <c r="F12" s="26">
        <f ca="1">NOW()+15018.5+$C$5/24</f>
        <v>60329.755271875001</v>
      </c>
    </row>
    <row r="13" spans="1:12" x14ac:dyDescent="0.2">
      <c r="A13" s="16" t="s">
        <v>28</v>
      </c>
      <c r="B13" s="16"/>
      <c r="C13" s="17" t="str">
        <f>"F"&amp;C9</f>
        <v>F21</v>
      </c>
      <c r="D13" s="17" t="str">
        <f>"F"&amp;D9</f>
        <v>F21</v>
      </c>
      <c r="E13" s="16" t="s">
        <v>35</v>
      </c>
      <c r="F13" s="26">
        <f ca="1">ROUND(2*(F12-$C$7)/$C$8,0)/2+F11</f>
        <v>2115.5</v>
      </c>
    </row>
    <row r="14" spans="1:12" x14ac:dyDescent="0.2">
      <c r="A14" s="16" t="s">
        <v>29</v>
      </c>
      <c r="B14" s="16"/>
      <c r="C14" s="17" t="str">
        <f>"R"&amp;C9</f>
        <v>R21</v>
      </c>
      <c r="D14" s="17" t="str">
        <f>"S"&amp;D9</f>
        <v>S21</v>
      </c>
      <c r="E14" s="16" t="s">
        <v>36</v>
      </c>
      <c r="F14" s="27">
        <f ca="1">ROUND(2*(F12-$C$15)/$C$16,0)/2+F11</f>
        <v>442.5</v>
      </c>
    </row>
    <row r="15" spans="1:12" x14ac:dyDescent="0.2">
      <c r="A15" s="20" t="s">
        <v>14</v>
      </c>
      <c r="B15" s="18"/>
      <c r="C15" s="21">
        <f ca="1">($C7+C11)+($C8+C12)*INT(MAX($F21:$F3533))</f>
        <v>58507.421355217411</v>
      </c>
      <c r="D15" s="21">
        <f ca="1">($C7+D11)+($C8+D12)*INT(MAX($F21:$F3533))</f>
        <v>58507.024479700049</v>
      </c>
      <c r="E15" s="16" t="s">
        <v>37</v>
      </c>
      <c r="F15" s="28">
        <f ca="1">+$C$15+$C$16*F14-15018.5-$C$5/24</f>
        <v>45315.864256308581</v>
      </c>
    </row>
    <row r="16" spans="1:12" x14ac:dyDescent="0.2">
      <c r="A16" s="22" t="s">
        <v>3</v>
      </c>
      <c r="B16" s="18"/>
      <c r="C16" s="23">
        <f ca="1">+$C8+C12</f>
        <v>4.127789983633523</v>
      </c>
      <c r="D16" s="19">
        <f ca="1">+$C8+D12</f>
        <v>4.1277969055419295</v>
      </c>
      <c r="E16" s="29"/>
      <c r="F16" s="29" t="s">
        <v>32</v>
      </c>
    </row>
    <row r="17" spans="1:19" ht="13.5" thickBot="1" x14ac:dyDescent="0.25">
      <c r="A17" s="15" t="s">
        <v>26</v>
      </c>
      <c r="C17">
        <f>COUNT(C21:C1247)</f>
        <v>13</v>
      </c>
    </row>
    <row r="18" spans="1:19" ht="14.25" thickTop="1" thickBot="1" x14ac:dyDescent="0.25">
      <c r="A18" s="6" t="s">
        <v>20</v>
      </c>
      <c r="C18" s="3">
        <f ca="1">+C15</f>
        <v>58507.421355217411</v>
      </c>
      <c r="D18" s="4">
        <f ca="1">+C16</f>
        <v>4.127789983633523</v>
      </c>
      <c r="E18" s="30">
        <f>R19</f>
        <v>9</v>
      </c>
    </row>
    <row r="19" spans="1:19" ht="14.25" thickTop="1" thickBot="1" x14ac:dyDescent="0.25">
      <c r="A19" s="6" t="s">
        <v>21</v>
      </c>
      <c r="C19" s="3">
        <f ca="1">+D15</f>
        <v>58507.024479700049</v>
      </c>
      <c r="D19" s="4">
        <f ca="1">+D16</f>
        <v>4.1277969055419295</v>
      </c>
      <c r="E19" s="30">
        <f>S19</f>
        <v>4</v>
      </c>
      <c r="R19">
        <f>COUNT(R21:R322)</f>
        <v>9</v>
      </c>
      <c r="S19">
        <f>COUNT(S21:S322)</f>
        <v>4</v>
      </c>
    </row>
    <row r="20" spans="1:19" ht="14.25" thickTop="1" thickBot="1" x14ac:dyDescent="0.25">
      <c r="A20" s="5" t="s">
        <v>4</v>
      </c>
      <c r="B20" s="5" t="s">
        <v>5</v>
      </c>
      <c r="C20" s="5" t="s">
        <v>6</v>
      </c>
      <c r="D20" s="5" t="s">
        <v>10</v>
      </c>
      <c r="E20" s="5" t="s">
        <v>7</v>
      </c>
      <c r="F20" s="5" t="s">
        <v>8</v>
      </c>
      <c r="G20" s="5" t="s">
        <v>9</v>
      </c>
      <c r="H20" s="8" t="s">
        <v>38</v>
      </c>
      <c r="I20" s="8" t="s">
        <v>39</v>
      </c>
      <c r="J20" s="8" t="s">
        <v>40</v>
      </c>
      <c r="K20" s="8" t="s">
        <v>41</v>
      </c>
      <c r="L20" s="8" t="s">
        <v>24</v>
      </c>
      <c r="M20" s="8" t="s">
        <v>16</v>
      </c>
      <c r="N20" s="8" t="s">
        <v>19</v>
      </c>
      <c r="O20" s="8" t="s">
        <v>22</v>
      </c>
      <c r="P20" s="7" t="s">
        <v>23</v>
      </c>
      <c r="Q20" s="5" t="s">
        <v>11</v>
      </c>
      <c r="R20" s="9" t="s">
        <v>17</v>
      </c>
      <c r="S20" s="9" t="s">
        <v>18</v>
      </c>
    </row>
    <row r="21" spans="1:19" x14ac:dyDescent="0.2">
      <c r="A21" t="s">
        <v>44</v>
      </c>
      <c r="C21" s="13">
        <v>51601.625</v>
      </c>
      <c r="D21" s="13" t="s">
        <v>25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3.7125985235121669E-3</v>
      </c>
      <c r="P21">
        <f ca="1">+D$11+D$12*$F21</f>
        <v>-0.40474327159810075</v>
      </c>
      <c r="Q21" s="2">
        <f>+C21-15018.5</f>
        <v>36583.125</v>
      </c>
      <c r="R21">
        <f>G21</f>
        <v>0</v>
      </c>
    </row>
    <row r="22" spans="1:19" x14ac:dyDescent="0.2">
      <c r="A22" s="14" t="s">
        <v>48</v>
      </c>
      <c r="B22" s="40" t="s">
        <v>49</v>
      </c>
      <c r="C22" s="14">
        <v>54833.703200000004</v>
      </c>
      <c r="D22" s="14">
        <v>1.8E-3</v>
      </c>
      <c r="E22">
        <f t="shared" ref="E22:E30" si="0">+(C22-C$7)/C$8</f>
        <v>783.00261640583449</v>
      </c>
      <c r="F22">
        <f t="shared" ref="F22:F33" si="1">ROUND(2*E22,0)/2</f>
        <v>783</v>
      </c>
      <c r="G22">
        <f t="shared" ref="G22:G30" si="2">+C22-(C$7+F22*C$8)</f>
        <v>1.0800000003655441E-2</v>
      </c>
      <c r="H22">
        <f t="shared" ref="H22:H33" si="3">+G22</f>
        <v>1.0800000003655441E-2</v>
      </c>
      <c r="O22">
        <f t="shared" ref="O22:O30" ca="1" si="4">+C$11+C$12*$F22</f>
        <v>-4.1302164274848417E-3</v>
      </c>
      <c r="P22">
        <f t="shared" ref="P22:P30" ca="1" si="5">+D$11+D$12*$F22</f>
        <v>-0.40716623226728632</v>
      </c>
      <c r="Q22" s="2">
        <f t="shared" ref="Q22:Q30" si="6">+C22-15018.5</f>
        <v>39815.203200000004</v>
      </c>
      <c r="R22">
        <f t="shared" ref="R22:R30" si="7">G22</f>
        <v>1.0800000003655441E-2</v>
      </c>
    </row>
    <row r="23" spans="1:19" x14ac:dyDescent="0.2">
      <c r="A23" s="41" t="s">
        <v>50</v>
      </c>
      <c r="B23" s="42" t="s">
        <v>49</v>
      </c>
      <c r="C23" s="43">
        <v>55543.672200000001</v>
      </c>
      <c r="D23" s="43">
        <v>1.1000000000000001E-3</v>
      </c>
      <c r="E23">
        <f t="shared" si="0"/>
        <v>954.9995639323613</v>
      </c>
      <c r="F23">
        <f t="shared" si="1"/>
        <v>955</v>
      </c>
      <c r="G23">
        <f t="shared" si="2"/>
        <v>-1.799999998183921E-3</v>
      </c>
      <c r="H23">
        <f t="shared" si="3"/>
        <v>-1.799999998183921E-3</v>
      </c>
      <c r="O23">
        <f t="shared" ca="1" si="4"/>
        <v>-5.8530314614203272E-3</v>
      </c>
      <c r="P23">
        <f t="shared" ca="1" si="5"/>
        <v>-0.40769847905540879</v>
      </c>
      <c r="Q23" s="2">
        <f t="shared" si="6"/>
        <v>40525.172200000001</v>
      </c>
      <c r="R23">
        <f t="shared" si="7"/>
        <v>-1.799999998183921E-3</v>
      </c>
    </row>
    <row r="24" spans="1:19" x14ac:dyDescent="0.2">
      <c r="A24" s="44" t="s">
        <v>51</v>
      </c>
      <c r="B24" s="45" t="s">
        <v>49</v>
      </c>
      <c r="C24" s="44">
        <v>55832.611700000001</v>
      </c>
      <c r="D24" s="44">
        <v>3.3E-4</v>
      </c>
      <c r="E24">
        <f t="shared" si="0"/>
        <v>1024.9979892436652</v>
      </c>
      <c r="F24">
        <f t="shared" si="1"/>
        <v>1025</v>
      </c>
      <c r="G24">
        <f t="shared" si="2"/>
        <v>-8.3000000013271347E-3</v>
      </c>
      <c r="H24">
        <f t="shared" si="3"/>
        <v>-8.3000000013271347E-3</v>
      </c>
      <c r="O24">
        <f t="shared" ca="1" si="4"/>
        <v>-6.5541771147661649E-3</v>
      </c>
      <c r="P24">
        <f t="shared" ca="1" si="5"/>
        <v>-0.40791509112034235</v>
      </c>
      <c r="Q24" s="2">
        <f t="shared" si="6"/>
        <v>40814.111700000001</v>
      </c>
      <c r="R24">
        <f t="shared" si="7"/>
        <v>-8.3000000013271347E-3</v>
      </c>
    </row>
    <row r="25" spans="1:19" x14ac:dyDescent="0.2">
      <c r="A25" s="44" t="s">
        <v>52</v>
      </c>
      <c r="B25" s="45" t="s">
        <v>53</v>
      </c>
      <c r="C25" s="44">
        <v>55883.811000000002</v>
      </c>
      <c r="D25" s="44">
        <v>8.0000000000000002E-3</v>
      </c>
      <c r="E25">
        <f t="shared" si="0"/>
        <v>1037.4015213915407</v>
      </c>
      <c r="F25">
        <f t="shared" si="1"/>
        <v>1037.5</v>
      </c>
      <c r="G25">
        <f t="shared" si="2"/>
        <v>-0.40649999999732245</v>
      </c>
      <c r="H25">
        <f t="shared" si="3"/>
        <v>-0.40649999999732245</v>
      </c>
      <c r="O25">
        <f t="shared" ca="1" si="4"/>
        <v>-6.6793816957207777E-3</v>
      </c>
      <c r="P25">
        <f t="shared" ca="1" si="5"/>
        <v>-0.40795377184622339</v>
      </c>
      <c r="Q25" s="2">
        <f t="shared" si="6"/>
        <v>40865.311000000002</v>
      </c>
      <c r="S25">
        <f>G25</f>
        <v>-0.40649999999732245</v>
      </c>
    </row>
    <row r="26" spans="1:19" x14ac:dyDescent="0.2">
      <c r="A26" s="44" t="s">
        <v>52</v>
      </c>
      <c r="B26" s="45" t="s">
        <v>49</v>
      </c>
      <c r="C26" s="44">
        <v>55931.681700000001</v>
      </c>
      <c r="D26" s="44">
        <v>1.1000000000000001E-3</v>
      </c>
      <c r="E26">
        <f t="shared" si="0"/>
        <v>1048.9986675711036</v>
      </c>
      <c r="F26">
        <f t="shared" si="1"/>
        <v>1049</v>
      </c>
      <c r="G26">
        <f t="shared" si="2"/>
        <v>-5.4999999993015081E-3</v>
      </c>
      <c r="H26">
        <f t="shared" si="3"/>
        <v>-5.4999999993015081E-3</v>
      </c>
      <c r="O26">
        <f t="shared" ca="1" si="4"/>
        <v>-6.7945699101990224E-3</v>
      </c>
      <c r="P26">
        <f t="shared" ca="1" si="5"/>
        <v>-0.40798935811403386</v>
      </c>
      <c r="Q26" s="2">
        <f t="shared" si="6"/>
        <v>40913.181700000001</v>
      </c>
      <c r="R26">
        <f t="shared" si="7"/>
        <v>-5.4999999993015081E-3</v>
      </c>
    </row>
    <row r="27" spans="1:19" x14ac:dyDescent="0.2">
      <c r="A27" s="46" t="s">
        <v>54</v>
      </c>
      <c r="B27" s="47"/>
      <c r="C27" s="46">
        <v>56955.363700000002</v>
      </c>
      <c r="D27" s="46">
        <v>9.2999999999999992E-3</v>
      </c>
      <c r="E27">
        <f t="shared" si="0"/>
        <v>1296.9956635495912</v>
      </c>
      <c r="F27">
        <f t="shared" si="1"/>
        <v>1297</v>
      </c>
      <c r="G27">
        <f t="shared" si="2"/>
        <v>-1.7899999998917338E-2</v>
      </c>
      <c r="H27">
        <f t="shared" si="3"/>
        <v>-1.7899999998917338E-2</v>
      </c>
      <c r="O27">
        <f t="shared" ca="1" si="4"/>
        <v>-9.2786287963385599E-3</v>
      </c>
      <c r="P27">
        <f t="shared" ca="1" si="5"/>
        <v>-0.40875678371551283</v>
      </c>
      <c r="Q27" s="2">
        <f t="shared" si="6"/>
        <v>41936.863700000002</v>
      </c>
      <c r="R27">
        <f t="shared" si="7"/>
        <v>-1.7899999998917338E-2</v>
      </c>
    </row>
    <row r="28" spans="1:19" x14ac:dyDescent="0.2">
      <c r="A28" s="48" t="s">
        <v>55</v>
      </c>
      <c r="B28" s="49" t="s">
        <v>49</v>
      </c>
      <c r="C28" s="50">
        <v>56930.601999999999</v>
      </c>
      <c r="D28" s="50"/>
      <c r="E28">
        <f t="shared" si="0"/>
        <v>1290.9968990745674</v>
      </c>
      <c r="F28">
        <f t="shared" si="1"/>
        <v>1291</v>
      </c>
      <c r="G28">
        <f t="shared" si="2"/>
        <v>-1.2799999996786937E-2</v>
      </c>
      <c r="H28">
        <f t="shared" si="3"/>
        <v>-1.2799999996786937E-2</v>
      </c>
      <c r="O28">
        <f t="shared" ca="1" si="4"/>
        <v>-9.2185305974803455E-3</v>
      </c>
      <c r="P28">
        <f t="shared" ca="1" si="5"/>
        <v>-0.40873821696708995</v>
      </c>
      <c r="Q28" s="2">
        <f t="shared" si="6"/>
        <v>41912.101999999999</v>
      </c>
      <c r="R28">
        <f t="shared" si="7"/>
        <v>-1.2799999996786937E-2</v>
      </c>
    </row>
    <row r="29" spans="1:19" x14ac:dyDescent="0.2">
      <c r="A29" s="48" t="s">
        <v>55</v>
      </c>
      <c r="B29" s="49" t="s">
        <v>53</v>
      </c>
      <c r="C29" s="50">
        <v>56581.405200000001</v>
      </c>
      <c r="D29" s="50">
        <v>4.1000000000000003E-3</v>
      </c>
      <c r="E29">
        <f t="shared" si="0"/>
        <v>1206.4005523523431</v>
      </c>
      <c r="F29">
        <f t="shared" si="1"/>
        <v>1206.5</v>
      </c>
      <c r="G29">
        <f t="shared" si="2"/>
        <v>-0.41049999999813735</v>
      </c>
      <c r="H29">
        <f t="shared" si="3"/>
        <v>-0.41049999999813735</v>
      </c>
      <c r="O29">
        <f t="shared" ca="1" si="4"/>
        <v>-8.3721476302271568E-3</v>
      </c>
      <c r="P29">
        <f t="shared" ca="1" si="5"/>
        <v>-0.40847673526013445</v>
      </c>
      <c r="Q29" s="2">
        <f t="shared" si="6"/>
        <v>41562.905200000001</v>
      </c>
      <c r="S29">
        <f>G29</f>
        <v>-0.41049999999813735</v>
      </c>
    </row>
    <row r="30" spans="1:19" x14ac:dyDescent="0.2">
      <c r="A30" s="51" t="s">
        <v>56</v>
      </c>
      <c r="B30" s="52" t="s">
        <v>49</v>
      </c>
      <c r="C30" s="53">
        <v>57021.429859999997</v>
      </c>
      <c r="D30" s="53">
        <v>1.4E-3</v>
      </c>
      <c r="E30">
        <f t="shared" si="0"/>
        <v>1313.0008382189053</v>
      </c>
      <c r="F30">
        <f t="shared" si="1"/>
        <v>1313</v>
      </c>
      <c r="G30">
        <f t="shared" si="2"/>
        <v>3.4599999999045394E-3</v>
      </c>
      <c r="H30">
        <f t="shared" si="3"/>
        <v>3.4599999999045394E-3</v>
      </c>
      <c r="O30">
        <f t="shared" ca="1" si="4"/>
        <v>-9.4388906599604666E-3</v>
      </c>
      <c r="P30">
        <f t="shared" ca="1" si="5"/>
        <v>-0.4088062950446405</v>
      </c>
      <c r="Q30" s="2">
        <f t="shared" si="6"/>
        <v>42002.929859999997</v>
      </c>
      <c r="R30">
        <f t="shared" si="7"/>
        <v>3.4599999999045394E-3</v>
      </c>
    </row>
    <row r="31" spans="1:19" x14ac:dyDescent="0.2">
      <c r="A31" s="54" t="s">
        <v>55</v>
      </c>
      <c r="B31" s="55" t="s">
        <v>49</v>
      </c>
      <c r="C31" s="56">
        <v>55927.537100000001</v>
      </c>
      <c r="D31" s="56">
        <v>1E-4</v>
      </c>
      <c r="E31">
        <f>+(C31-C$7)/C$8</f>
        <v>1047.9945976064737</v>
      </c>
      <c r="F31">
        <f t="shared" si="1"/>
        <v>1048</v>
      </c>
      <c r="G31">
        <f>+C31-(C$7+F31*C$8)</f>
        <v>-2.2299999996903352E-2</v>
      </c>
      <c r="H31">
        <f t="shared" si="3"/>
        <v>-2.2299999996903352E-2</v>
      </c>
      <c r="O31">
        <f t="shared" ref="O31:P33" ca="1" si="8">+C$11+C$12*$F31</f>
        <v>-6.7845535437226542E-3</v>
      </c>
      <c r="P31">
        <f t="shared" ca="1" si="8"/>
        <v>-0.40798626365596341</v>
      </c>
      <c r="Q31" s="2">
        <f>+C31-15018.5</f>
        <v>40909.037100000001</v>
      </c>
      <c r="R31">
        <f>G31</f>
        <v>-2.2299999996903352E-2</v>
      </c>
    </row>
    <row r="32" spans="1:19" x14ac:dyDescent="0.2">
      <c r="A32" s="57" t="s">
        <v>57</v>
      </c>
      <c r="B32" s="58" t="s">
        <v>53</v>
      </c>
      <c r="C32" s="59">
        <v>58063.286500000002</v>
      </c>
      <c r="D32" s="59">
        <v>8.4000000000000003E-4</v>
      </c>
      <c r="E32">
        <f>+(C32-C$7)/C$8</f>
        <v>1565.4008188381226</v>
      </c>
      <c r="F32">
        <f t="shared" si="1"/>
        <v>1565.5</v>
      </c>
      <c r="G32">
        <f>+C32-(C$7+F32*C$8)</f>
        <v>-0.40939999999682186</v>
      </c>
      <c r="K32">
        <f>+G32</f>
        <v>-0.40939999999682186</v>
      </c>
      <c r="O32">
        <f t="shared" ca="1" si="8"/>
        <v>-1.1968023195243664E-2</v>
      </c>
      <c r="P32">
        <f t="shared" ca="1" si="8"/>
        <v>-0.40958764570743661</v>
      </c>
      <c r="Q32" s="2">
        <f>+C32-15018.5</f>
        <v>43044.786500000002</v>
      </c>
      <c r="S32">
        <f>G32</f>
        <v>-0.40939999999682186</v>
      </c>
    </row>
    <row r="33" spans="1:19" x14ac:dyDescent="0.2">
      <c r="A33" s="57" t="s">
        <v>57</v>
      </c>
      <c r="B33" s="58" t="s">
        <v>53</v>
      </c>
      <c r="C33" s="59">
        <v>58509.088759999999</v>
      </c>
      <c r="D33" s="59">
        <v>7.1000000000000002E-4</v>
      </c>
      <c r="E33">
        <f>+(C33-C$7)/C$8</f>
        <v>1673.4007849217498</v>
      </c>
      <c r="F33">
        <f t="shared" si="1"/>
        <v>1673.5</v>
      </c>
      <c r="G33">
        <f>+C33-(C$7+F33*C$8)</f>
        <v>-0.40954000000056112</v>
      </c>
      <c r="K33">
        <f>+G33</f>
        <v>-0.40954000000056112</v>
      </c>
      <c r="O33">
        <f t="shared" ca="1" si="8"/>
        <v>-1.3049790774691527E-2</v>
      </c>
      <c r="P33">
        <f t="shared" ca="1" si="8"/>
        <v>-0.40992184717904839</v>
      </c>
      <c r="Q33" s="2">
        <f>+C33-15018.5</f>
        <v>43490.588759999999</v>
      </c>
      <c r="S33">
        <f>G33</f>
        <v>-0.40954000000056112</v>
      </c>
    </row>
    <row r="34" spans="1:19" x14ac:dyDescent="0.2">
      <c r="A34" s="14"/>
      <c r="B34" s="11"/>
      <c r="C34" s="12"/>
      <c r="D34" s="13"/>
      <c r="Q34" s="2"/>
    </row>
    <row r="35" spans="1:19" x14ac:dyDescent="0.2">
      <c r="A35" s="14"/>
      <c r="B35" s="11"/>
      <c r="C35" s="12"/>
      <c r="D35" s="13"/>
      <c r="Q35" s="2"/>
    </row>
  </sheetData>
  <protectedRanges>
    <protectedRange sqref="A32:D33" name="Range1"/>
  </protectedRanges>
  <phoneticPr fontId="8" type="noConversion"/>
  <hyperlinks>
    <hyperlink ref="H2139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2024-01-20T05:07:35Z</dcterms:modified>
</cp:coreProperties>
</file>