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0793434-752A-4087-B6CC-87C1D00C3782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D14" i="1"/>
  <c r="D13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C13" i="1"/>
  <c r="E21" i="1"/>
  <c r="F21" i="1"/>
  <c r="G21" i="1"/>
  <c r="F12" i="1"/>
  <c r="C14" i="1"/>
  <c r="C17" i="1"/>
  <c r="Q21" i="1"/>
  <c r="R32" i="1"/>
  <c r="H32" i="1"/>
  <c r="S30" i="1"/>
  <c r="H30" i="1"/>
  <c r="R21" i="1"/>
  <c r="H21" i="1"/>
  <c r="H24" i="1"/>
  <c r="R24" i="1"/>
  <c r="S27" i="1"/>
  <c r="H27" i="1"/>
  <c r="S31" i="1"/>
  <c r="H31" i="1"/>
  <c r="S25" i="1"/>
  <c r="H25" i="1"/>
  <c r="R29" i="1"/>
  <c r="H29" i="1"/>
  <c r="H34" i="1"/>
  <c r="R34" i="1"/>
  <c r="S23" i="1"/>
  <c r="H23" i="1"/>
  <c r="H22" i="1"/>
  <c r="S22" i="1"/>
  <c r="R26" i="1"/>
  <c r="H26" i="1"/>
  <c r="R35" i="1"/>
  <c r="H35" i="1"/>
  <c r="S33" i="1"/>
  <c r="H33" i="1"/>
  <c r="H28" i="1"/>
  <c r="S28" i="1"/>
  <c r="R19" i="1"/>
  <c r="E18" i="1"/>
  <c r="S19" i="1"/>
  <c r="E19" i="1"/>
  <c r="D11" i="1"/>
  <c r="D12" i="1"/>
  <c r="C11" i="1"/>
  <c r="D16" i="1" l="1"/>
  <c r="D19" i="1" s="1"/>
  <c r="P30" i="1"/>
  <c r="P27" i="1"/>
  <c r="P32" i="1"/>
  <c r="P29" i="1"/>
  <c r="P34" i="1"/>
  <c r="P31" i="1"/>
  <c r="P21" i="1"/>
  <c r="P33" i="1"/>
  <c r="P26" i="1"/>
  <c r="P23" i="1"/>
  <c r="P25" i="1"/>
  <c r="P22" i="1"/>
  <c r="D15" i="1"/>
  <c r="C19" i="1" s="1"/>
  <c r="P35" i="1"/>
  <c r="P24" i="1"/>
  <c r="P28" i="1"/>
  <c r="F13" i="1"/>
  <c r="C12" i="1"/>
  <c r="C16" i="1" l="1"/>
  <c r="D18" i="1" s="1"/>
  <c r="O27" i="1"/>
  <c r="O34" i="1"/>
  <c r="O28" i="1"/>
  <c r="C15" i="1"/>
  <c r="O29" i="1"/>
  <c r="O23" i="1"/>
  <c r="O30" i="1"/>
  <c r="O25" i="1"/>
  <c r="O24" i="1"/>
  <c r="O26" i="1"/>
  <c r="O31" i="1"/>
  <c r="O21" i="1"/>
  <c r="O22" i="1"/>
  <c r="O32" i="1"/>
  <c r="O35" i="1"/>
  <c r="O33" i="1"/>
  <c r="C18" i="1" l="1"/>
  <c r="F14" i="1"/>
  <c r="F15" i="1" s="1"/>
</calcChain>
</file>

<file path=xl/sharedStrings.xml><?xml version="1.0" encoding="utf-8"?>
<sst xmlns="http://schemas.openxmlformats.org/spreadsheetml/2006/main" count="79" uniqueCount="61">
  <si>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</si>
  <si>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</si>
  <si>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</si>
  <si>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</si>
  <si>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</si>
  <si>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</si>
  <si>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</si>
  <si>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</si>
  <si>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</si>
  <si>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</si>
  <si>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</si>
  <si>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</si>
  <si>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</si>
  <si>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</si>
  <si>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</si>
  <si>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</si>
  <si>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</si>
  <si>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</si>
  <si>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</si>
  <si>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</si>
  <si>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</si>
  <si>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</si>
  <si>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</si>
  <si>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</si>
  <si>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</si>
  <si>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</si>
  <si>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</si>
  <si>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</si>
  <si>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</si>
  <si>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</si>
  <si>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</si>
  <si>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</si>
  <si>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</si>
  <si>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</si>
  <si>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</si>
  <si>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</si>
  <si>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</si>
  <si>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</si>
  <si>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</si>
  <si>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pg</t>
  </si>
  <si>
    <t>vis</t>
  </si>
  <si>
    <t>PE</t>
  </si>
  <si>
    <t>CCD</t>
  </si>
  <si>
    <t>V1137 Cas / GSC 4297-1664</t>
  </si>
  <si>
    <t>EA</t>
  </si>
  <si>
    <t>Cas</t>
  </si>
  <si>
    <t>not avail.</t>
  </si>
  <si>
    <t>IBVS</t>
  </si>
  <si>
    <t>IBVS 5570</t>
  </si>
  <si>
    <t>OEJV 0074</t>
  </si>
  <si>
    <t>II</t>
  </si>
  <si>
    <t>IBVS 5741</t>
  </si>
  <si>
    <t>OEJV 0107</t>
  </si>
  <si>
    <t>I</t>
  </si>
  <si>
    <t>IBVS 5992</t>
  </si>
  <si>
    <t>OEJV 0160</t>
  </si>
  <si>
    <t>IBVS 6011</t>
  </si>
  <si>
    <t>IBVS 6042</t>
  </si>
  <si>
    <t>IBVS 6193</t>
  </si>
  <si>
    <t>IBVS 6093</t>
  </si>
  <si>
    <t>IBVS 6131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</si>
</sst>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7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0" xfId="0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1" xfId="0" applyFont="1" applyBorder="1">
      <alignment vertical="top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7" applyFont="1" applyAlignment="1">
      <alignment wrapText="1"/>
    </xf>
    <xf numFmtId="0" fontId="14" fillId="0" borderId="0" xfId="7" applyFont="1" applyAlignment="1">
      <alignment horizontal="center" wrapText="1"/>
    </xf>
    <xf numFmtId="0" fontId="14" fillId="0" borderId="0" xfId="7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V1137 Cas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45161290322581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2E-3</c:v>
                  </c:pt>
                  <c:pt idx="11">
                    <c:v>5.0000000000000001E-4</c:v>
                  </c:pt>
                  <c:pt idx="12">
                    <c:v>8.8999999999999999E-3</c:v>
                  </c:pt>
                  <c:pt idx="13">
                    <c:v>2.0000000000000001E-4</c:v>
                  </c:pt>
                  <c:pt idx="14">
                    <c:v>5.9999999999999995E-4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2E-3</c:v>
                  </c:pt>
                  <c:pt idx="11">
                    <c:v>5.0000000000000001E-4</c:v>
                  </c:pt>
                  <c:pt idx="12">
                    <c:v>8.8999999999999999E-3</c:v>
                  </c:pt>
                  <c:pt idx="13">
                    <c:v>2.0000000000000001E-4</c:v>
                  </c:pt>
                  <c:pt idx="1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  <c:pt idx="1">
                  <c:v>2.9940000000351574E-2</c:v>
                </c:pt>
                <c:pt idx="2">
                  <c:v>3.1499999997322448E-2</c:v>
                </c:pt>
                <c:pt idx="3">
                  <c:v>8.7999999959720299E-4</c:v>
                </c:pt>
                <c:pt idx="4">
                  <c:v>2.2700000001350418E-2</c:v>
                </c:pt>
                <c:pt idx="5">
                  <c:v>-2.3599999985890463E-3</c:v>
                </c:pt>
                <c:pt idx="6">
                  <c:v>1.8199999998614658E-2</c:v>
                </c:pt>
                <c:pt idx="7">
                  <c:v>1.6689999996742699E-2</c:v>
                </c:pt>
                <c:pt idx="8">
                  <c:v>-5.300000004353933E-3</c:v>
                </c:pt>
                <c:pt idx="9">
                  <c:v>6.0000000012223609E-3</c:v>
                </c:pt>
                <c:pt idx="10">
                  <c:v>3.4000000014202669E-3</c:v>
                </c:pt>
                <c:pt idx="11">
                  <c:v>1.3000000035390258E-3</c:v>
                </c:pt>
                <c:pt idx="12">
                  <c:v>-9.1000000029453076E-3</c:v>
                </c:pt>
                <c:pt idx="13">
                  <c:v>2.6999999972758815E-3</c:v>
                </c:pt>
                <c:pt idx="14">
                  <c:v>8.9999999909196049E-4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2C-4BE0-BA24-4775B4E3022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2C-4BE0-BA24-4775B4E3022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2C-4BE0-BA24-4775B4E3022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2C-4BE0-BA24-4775B4E3022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2C-4BE0-BA24-4775B4E3022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2C-4BE0-BA24-4775B4E3022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2C-4BE0-BA24-4775B4E3022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-8.2200858181696369E-4</c:v>
                </c:pt>
                <c:pt idx="1">
                  <c:v>-5.2579756894068541E-4</c:v>
                </c:pt>
                <c:pt idx="2">
                  <c:v>-5.2579756894068541E-4</c:v>
                </c:pt>
                <c:pt idx="3">
                  <c:v>-3.6660933753098482E-4</c:v>
                </c:pt>
                <c:pt idx="4">
                  <c:v>-2.534791839251759E-4</c:v>
                </c:pt>
                <c:pt idx="5">
                  <c:v>-2.2152639244872607E-4</c:v>
                </c:pt>
                <c:pt idx="6">
                  <c:v>-2.1663272168206255E-4</c:v>
                </c:pt>
                <c:pt idx="7">
                  <c:v>-2.1375409181931932E-4</c:v>
                </c:pt>
                <c:pt idx="8">
                  <c:v>-2.1346622883304501E-4</c:v>
                </c:pt>
                <c:pt idx="9">
                  <c:v>-1.5906012442719797E-4</c:v>
                </c:pt>
                <c:pt idx="10">
                  <c:v>-1.3430390760760626E-4</c:v>
                </c:pt>
                <c:pt idx="11">
                  <c:v>-1.2250152517035904E-4</c:v>
                </c:pt>
                <c:pt idx="12">
                  <c:v>-1.060933349527226E-4</c:v>
                </c:pt>
                <c:pt idx="13">
                  <c:v>-6.8383283750786308E-5</c:v>
                </c:pt>
                <c:pt idx="14">
                  <c:v>-6.5504653888043079E-5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2C-4BE0-BA24-4775B4E30221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0.14133658964520884</c:v>
                </c:pt>
                <c:pt idx="1">
                  <c:v>8.0525572855888072E-2</c:v>
                </c:pt>
                <c:pt idx="2">
                  <c:v>8.0525572855888072E-2</c:v>
                </c:pt>
                <c:pt idx="3">
                  <c:v>4.7844822336457191E-2</c:v>
                </c:pt>
                <c:pt idx="4">
                  <c:v>2.461962350438425E-2</c:v>
                </c:pt>
                <c:pt idx="5">
                  <c:v>1.8059834521279683E-2</c:v>
                </c:pt>
                <c:pt idx="6">
                  <c:v>1.7055182154497903E-2</c:v>
                </c:pt>
                <c:pt idx="7">
                  <c:v>1.6464210174038027E-2</c:v>
                </c:pt>
                <c:pt idx="8">
                  <c:v>1.6405112975992037E-2</c:v>
                </c:pt>
                <c:pt idx="9">
                  <c:v>5.2357425453004591E-3</c:v>
                </c:pt>
                <c:pt idx="10">
                  <c:v>1.5338351334556743E-4</c:v>
                </c:pt>
                <c:pt idx="11">
                  <c:v>-2.2696016065398839E-3</c:v>
                </c:pt>
                <c:pt idx="12">
                  <c:v>-5.6381418951611528E-3</c:v>
                </c:pt>
                <c:pt idx="13">
                  <c:v>-1.3379874839185485E-2</c:v>
                </c:pt>
                <c:pt idx="14">
                  <c:v>-1.3970846819645361E-2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2C-4BE0-BA24-4775B4E30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532616"/>
        <c:axId val="1"/>
      </c:scatterChart>
      <c:valAx>
        <c:axId val="716532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532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16129032258066"/>
          <c:y val="0.92097264437689974"/>
          <c:w val="0.803225806451612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V1137 Cas - Prim. O-C Diagr.</a:t>
            </a:r>
          </a:p>
        </c:rich>
      </c:tx>
      <c:layout>
        <c:manualLayout>
          <c:xMode val="edge"/>
          <c:yMode val="edge"/>
          <c:x val="0.2723494906172071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3">
                  <c:v>8.7999999959720299E-4</c:v>
                </c:pt>
                <c:pt idx="5">
                  <c:v>-2.3599999985890463E-3</c:v>
                </c:pt>
                <c:pt idx="8">
                  <c:v>-5.300000004353933E-3</c:v>
                </c:pt>
                <c:pt idx="11">
                  <c:v>1.3000000035390258E-3</c:v>
                </c:pt>
                <c:pt idx="13">
                  <c:v>2.6999999972758815E-3</c:v>
                </c:pt>
                <c:pt idx="14">
                  <c:v>8.9999999909196049E-4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88-4C35-8AB8-58202D0B29A5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-8.2200858181696369E-4</c:v>
                </c:pt>
                <c:pt idx="1">
                  <c:v>-5.2579756894068541E-4</c:v>
                </c:pt>
                <c:pt idx="2">
                  <c:v>-5.2579756894068541E-4</c:v>
                </c:pt>
                <c:pt idx="3">
                  <c:v>-3.6660933753098482E-4</c:v>
                </c:pt>
                <c:pt idx="4">
                  <c:v>-2.534791839251759E-4</c:v>
                </c:pt>
                <c:pt idx="5">
                  <c:v>-2.2152639244872607E-4</c:v>
                </c:pt>
                <c:pt idx="6">
                  <c:v>-2.1663272168206255E-4</c:v>
                </c:pt>
                <c:pt idx="7">
                  <c:v>-2.1375409181931932E-4</c:v>
                </c:pt>
                <c:pt idx="8">
                  <c:v>-2.1346622883304501E-4</c:v>
                </c:pt>
                <c:pt idx="9">
                  <c:v>-1.5906012442719797E-4</c:v>
                </c:pt>
                <c:pt idx="10">
                  <c:v>-1.3430390760760626E-4</c:v>
                </c:pt>
                <c:pt idx="11">
                  <c:v>-1.2250152517035904E-4</c:v>
                </c:pt>
                <c:pt idx="12">
                  <c:v>-1.060933349527226E-4</c:v>
                </c:pt>
                <c:pt idx="13">
                  <c:v>-6.8383283750786308E-5</c:v>
                </c:pt>
                <c:pt idx="14">
                  <c:v>-6.5504653888043079E-5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88-4C35-8AB8-58202D0B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698968"/>
        <c:axId val="1"/>
      </c:scatterChart>
      <c:valAx>
        <c:axId val="781698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698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V1137 Cas - Sec. O-C Diagr.</a:t>
            </a:r>
          </a:p>
        </c:rich>
      </c:tx>
      <c:layout>
        <c:manualLayout>
          <c:xMode val="edge"/>
          <c:yMode val="edge"/>
          <c:x val="0.2816328673201564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142934015200504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2.9940000000351574E-2</c:v>
                </c:pt>
                <c:pt idx="2">
                  <c:v>3.1499999997322448E-2</c:v>
                </c:pt>
                <c:pt idx="4">
                  <c:v>2.2700000001350418E-2</c:v>
                </c:pt>
                <c:pt idx="6">
                  <c:v>1.8199999998614658E-2</c:v>
                </c:pt>
                <c:pt idx="7">
                  <c:v>1.6689999996742699E-2</c:v>
                </c:pt>
                <c:pt idx="9">
                  <c:v>6.0000000012223609E-3</c:v>
                </c:pt>
                <c:pt idx="10">
                  <c:v>3.4000000014202669E-3</c:v>
                </c:pt>
                <c:pt idx="12">
                  <c:v>-9.1000000029453076E-3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91-463F-83BE-6B31F139751A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514.5</c:v>
                </c:pt>
                <c:pt idx="2">
                  <c:v>514.5</c:v>
                </c:pt>
                <c:pt idx="3">
                  <c:v>791</c:v>
                </c:pt>
                <c:pt idx="4">
                  <c:v>987.5</c:v>
                </c:pt>
                <c:pt idx="5">
                  <c:v>1043</c:v>
                </c:pt>
                <c:pt idx="6">
                  <c:v>1051.5</c:v>
                </c:pt>
                <c:pt idx="7">
                  <c:v>1056.5</c:v>
                </c:pt>
                <c:pt idx="8">
                  <c:v>1057</c:v>
                </c:pt>
                <c:pt idx="9">
                  <c:v>1151.5</c:v>
                </c:pt>
                <c:pt idx="10">
                  <c:v>1194.5</c:v>
                </c:pt>
                <c:pt idx="11">
                  <c:v>1215</c:v>
                </c:pt>
                <c:pt idx="12">
                  <c:v>1243.5</c:v>
                </c:pt>
                <c:pt idx="13">
                  <c:v>1309</c:v>
                </c:pt>
                <c:pt idx="14">
                  <c:v>1314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0.14133658964520884</c:v>
                </c:pt>
                <c:pt idx="1">
                  <c:v>8.0525572855888072E-2</c:v>
                </c:pt>
                <c:pt idx="2">
                  <c:v>8.0525572855888072E-2</c:v>
                </c:pt>
                <c:pt idx="3">
                  <c:v>4.7844822336457191E-2</c:v>
                </c:pt>
                <c:pt idx="4">
                  <c:v>2.461962350438425E-2</c:v>
                </c:pt>
                <c:pt idx="5">
                  <c:v>1.8059834521279683E-2</c:v>
                </c:pt>
                <c:pt idx="6">
                  <c:v>1.7055182154497903E-2</c:v>
                </c:pt>
                <c:pt idx="7">
                  <c:v>1.6464210174038027E-2</c:v>
                </c:pt>
                <c:pt idx="8">
                  <c:v>1.6405112975992037E-2</c:v>
                </c:pt>
                <c:pt idx="9">
                  <c:v>5.2357425453004591E-3</c:v>
                </c:pt>
                <c:pt idx="10">
                  <c:v>1.5338351334556743E-4</c:v>
                </c:pt>
                <c:pt idx="11">
                  <c:v>-2.2696016065398839E-3</c:v>
                </c:pt>
                <c:pt idx="12">
                  <c:v>-5.6381418951611528E-3</c:v>
                </c:pt>
                <c:pt idx="13">
                  <c:v>-1.3379874839185485E-2</c:v>
                </c:pt>
                <c:pt idx="14">
                  <c:v>-1.3970846819645361E-2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91-463F-83BE-6B31F1397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530816"/>
        <c:axId val="1"/>
      </c:scatterChart>
      <c:valAx>
        <c:axId val="716530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718570892924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530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3716321174139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0</xdr:row>
      <xdr:rowOff>19050</xdr:rowOff>
    </xdr:from>
    <xdr:to>
      <xdr:col>18</xdr:col>
      <xdr:colOff>523874</xdr:colOff>
      <xdr:row>18</xdr:row>
      <xdr:rowOff>171450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4DED4FCA-3A63-EC69-A236-6BDF7BC98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19049</xdr:rowOff>
    </xdr:from>
    <xdr:to>
      <xdr:col>13</xdr:col>
      <xdr:colOff>447675</xdr:colOff>
      <xdr:row>21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D0B23C-2792-9AD0-1862-6CE7ED382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21</xdr:row>
      <xdr:rowOff>123826</xdr:rowOff>
    </xdr:from>
    <xdr:to>
      <xdr:col>13</xdr:col>
      <xdr:colOff>476249</xdr:colOff>
      <xdr:row>40</xdr:row>
      <xdr:rowOff>152401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1BBAC9B-CF59-E652-09EA-424F32655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Z16" sqref="Z1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7.425781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x14ac:dyDescent="0.2">
      <c r="A2" t="s">
        <v>16</v>
      </c>
      <c r="B2" t="s">
        <v>44</v>
      </c>
      <c r="C2" s="26"/>
      <c r="D2" s="26" t="s">
        <v>45</v>
      </c>
    </row>
    <row r="3" spans="1:6" ht="13.5" thickBot="1" x14ac:dyDescent="0.25"/>
    <row r="4" spans="1:6" ht="14.25" thickTop="1" thickBot="1" x14ac:dyDescent="0.25">
      <c r="A4" s="6" t="s">
        <v>0</v>
      </c>
      <c r="C4" s="27" t="s">
        <v>46</v>
      </c>
      <c r="D4" s="28" t="s">
        <v>46</v>
      </c>
    </row>
    <row r="5" spans="1:6" ht="13.5" thickTop="1" x14ac:dyDescent="0.2">
      <c r="A5" s="19" t="s">
        <v>31</v>
      </c>
      <c r="B5" s="13"/>
      <c r="C5" s="20">
        <v>-9.5</v>
      </c>
      <c r="D5" s="13" t="s">
        <v>32</v>
      </c>
    </row>
    <row r="6" spans="1:6" x14ac:dyDescent="0.2">
      <c r="A6" s="6" t="s">
        <v>1</v>
      </c>
    </row>
    <row r="7" spans="1:6" x14ac:dyDescent="0.2">
      <c r="A7" t="s">
        <v>2</v>
      </c>
      <c r="C7">
        <v>51473.567999999999</v>
      </c>
      <c r="D7" s="29" t="s">
        <v>47</v>
      </c>
    </row>
    <row r="8" spans="1:6" x14ac:dyDescent="0.2">
      <c r="A8" t="s">
        <v>3</v>
      </c>
      <c r="C8">
        <v>4.1589999999999998</v>
      </c>
      <c r="D8" s="25">
        <v>5570</v>
      </c>
    </row>
    <row r="9" spans="1:6" x14ac:dyDescent="0.2">
      <c r="A9" s="11" t="s">
        <v>28</v>
      </c>
      <c r="B9" s="11"/>
      <c r="C9" s="12">
        <v>21</v>
      </c>
      <c r="D9" s="12">
        <v>25</v>
      </c>
    </row>
    <row r="10" spans="1:6" ht="13.5" thickBot="1" x14ac:dyDescent="0.25">
      <c r="A10" s="13"/>
      <c r="B10" s="13"/>
      <c r="C10" s="5" t="s">
        <v>18</v>
      </c>
      <c r="D10" s="5" t="s">
        <v>19</v>
      </c>
    </row>
    <row r="11" spans="1:6" x14ac:dyDescent="0.2">
      <c r="A11" s="13" t="s">
        <v>13</v>
      </c>
      <c r="B11" s="13"/>
      <c r="C11" s="14">
        <f ca="1">INTERCEPT(INDIRECT(C14):R$935,INDIRECT(C13):$F$935)</f>
        <v>-8.2200858181696369E-4</v>
      </c>
      <c r="D11" s="14">
        <f ca="1">INTERCEPT(INDIRECT(D14):S$935,INDIRECT(D13):$F$935)</f>
        <v>0.14133658964520884</v>
      </c>
      <c r="E11" s="11" t="s">
        <v>34</v>
      </c>
      <c r="F11">
        <v>1</v>
      </c>
    </row>
    <row r="12" spans="1:6" x14ac:dyDescent="0.2">
      <c r="A12" s="13" t="s">
        <v>14</v>
      </c>
      <c r="B12" s="13"/>
      <c r="C12" s="14">
        <f ca="1">SLOPE(INDIRECT(C14):R$935,INDIRECT(C13):$F$935)</f>
        <v>5.7572597254864583E-7</v>
      </c>
      <c r="D12" s="14">
        <f ca="1">SLOPE(INDIRECT(D14):S$935,INDIRECT(D13):$F$935)</f>
        <v>-1.1819439609197427E-4</v>
      </c>
      <c r="E12" s="11" t="s">
        <v>35</v>
      </c>
      <c r="F12" s="21">
        <f ca="1">NOW()+15018.5+$C$5/24</f>
        <v>60329.770550000001</v>
      </c>
    </row>
    <row r="13" spans="1:6" x14ac:dyDescent="0.2">
      <c r="A13" s="11" t="s">
        <v>29</v>
      </c>
      <c r="B13" s="11"/>
      <c r="C13" s="12" t="str">
        <f>"F"&amp;C9</f>
        <v>F21</v>
      </c>
      <c r="D13" s="12" t="str">
        <f>"F"&amp;D9</f>
        <v>F25</v>
      </c>
      <c r="E13" s="11" t="s">
        <v>36</v>
      </c>
      <c r="F13" s="21">
        <f ca="1">ROUND(2*(F12-$C$7)/$C$8,0)/2+F11</f>
        <v>2130.5</v>
      </c>
    </row>
    <row r="14" spans="1:6" x14ac:dyDescent="0.2">
      <c r="A14" s="11" t="s">
        <v>30</v>
      </c>
      <c r="B14" s="11"/>
      <c r="C14" s="12" t="str">
        <f>"R"&amp;C9</f>
        <v>R21</v>
      </c>
      <c r="D14" s="12" t="str">
        <f>"S"&amp;D9</f>
        <v>S25</v>
      </c>
      <c r="E14" s="11" t="s">
        <v>37</v>
      </c>
      <c r="F14" s="22">
        <f ca="1">ROUND(2*(F12-$C$15)/$C$16,0)/2+F11</f>
        <v>816.5</v>
      </c>
    </row>
    <row r="15" spans="1:6" x14ac:dyDescent="0.2">
      <c r="A15" s="15" t="s">
        <v>15</v>
      </c>
      <c r="B15" s="13"/>
      <c r="C15" s="16">
        <f ca="1">($C7+C11)+($C8+C12)*INT(MAX($F21:$F3533))</f>
        <v>56938.493934495345</v>
      </c>
      <c r="D15" s="16">
        <f ca="1">($C7+D11)+($C8+D12)*INT(MAX($F21:$F3533))</f>
        <v>56938.480029153179</v>
      </c>
      <c r="E15" s="11" t="s">
        <v>38</v>
      </c>
      <c r="F15" s="23">
        <f ca="1">+$C$15+$C$16*F14-15018.5-$C$5/24</f>
        <v>45316.21373790894</v>
      </c>
    </row>
    <row r="16" spans="1:6" x14ac:dyDescent="0.2">
      <c r="A16" s="17" t="s">
        <v>4</v>
      </c>
      <c r="B16" s="13"/>
      <c r="C16" s="18">
        <f ca="1">+$C8+C12</f>
        <v>4.1590005757259725</v>
      </c>
      <c r="D16" s="14">
        <f ca="1">+$C8+D12</f>
        <v>4.1588818056039081</v>
      </c>
      <c r="E16" s="24"/>
      <c r="F16" s="24" t="s">
        <v>33</v>
      </c>
    </row>
    <row r="17" spans="1:19" ht="13.5" thickBot="1" x14ac:dyDescent="0.25">
      <c r="A17" s="10" t="s">
        <v>27</v>
      </c>
      <c r="C17">
        <f>COUNT(C21:C1247)</f>
        <v>15</v>
      </c>
    </row>
    <row r="18" spans="1:19" ht="14.25" thickTop="1" thickBot="1" x14ac:dyDescent="0.25">
      <c r="A18" s="6" t="s">
        <v>21</v>
      </c>
      <c r="C18" s="3">
        <f ca="1">+C15</f>
        <v>56938.493934495345</v>
      </c>
      <c r="D18" s="4">
        <f ca="1">+C16</f>
        <v>4.1590005757259725</v>
      </c>
      <c r="E18" s="25">
        <f>R19</f>
        <v>7</v>
      </c>
    </row>
    <row r="19" spans="1:19" ht="14.25" thickTop="1" thickBot="1" x14ac:dyDescent="0.25">
      <c r="A19" s="6" t="s">
        <v>22</v>
      </c>
      <c r="C19" s="3">
        <f ca="1">+D15</f>
        <v>56938.480029153179</v>
      </c>
      <c r="D19" s="4">
        <f ca="1">+D16</f>
        <v>4.1588818056039081</v>
      </c>
      <c r="E19" s="25">
        <f>S19</f>
        <v>8</v>
      </c>
      <c r="R19">
        <f>COUNT(R21:R322)</f>
        <v>7</v>
      </c>
      <c r="S19">
        <f>COUNT(S21:S322)</f>
        <v>8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39</v>
      </c>
      <c r="I20" s="8" t="s">
        <v>40</v>
      </c>
      <c r="J20" s="8" t="s">
        <v>41</v>
      </c>
      <c r="K20" s="8" t="s">
        <v>42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9" t="s">
        <v>18</v>
      </c>
      <c r="S20" s="9" t="s">
        <v>19</v>
      </c>
    </row>
    <row r="21" spans="1:19" x14ac:dyDescent="0.2">
      <c r="A21" s="30" t="s">
        <v>48</v>
      </c>
      <c r="B21" s="30"/>
      <c r="C21" s="31">
        <v>51473.567999999999</v>
      </c>
      <c r="D21" s="31" t="s">
        <v>26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-8.2200858181696369E-4</v>
      </c>
      <c r="P21">
        <f ca="1">+D$11+D$12*$F21</f>
        <v>0.14133658964520884</v>
      </c>
      <c r="Q21" s="2">
        <f>+C21-15018.5</f>
        <v>36455.067999999999</v>
      </c>
      <c r="R21">
        <f>G21</f>
        <v>0</v>
      </c>
    </row>
    <row r="22" spans="1:19" x14ac:dyDescent="0.2">
      <c r="A22" s="30" t="s">
        <v>49</v>
      </c>
      <c r="B22" s="32" t="s">
        <v>50</v>
      </c>
      <c r="C22" s="31">
        <v>53613.403440000002</v>
      </c>
      <c r="D22" s="31">
        <v>2.0000000000000001E-4</v>
      </c>
      <c r="E22">
        <f t="shared" ref="E22:E35" si="0">+(C22-C$7)/C$8</f>
        <v>514.50719884587704</v>
      </c>
      <c r="F22">
        <f t="shared" ref="F22:F35" si="1">ROUND(2*E22,0)/2</f>
        <v>514.5</v>
      </c>
      <c r="G22">
        <f t="shared" ref="G22:G35" si="2">+C22-(C$7+F22*C$8)</f>
        <v>2.9940000000351574E-2</v>
      </c>
      <c r="H22">
        <f t="shared" ref="H22:H35" si="3">+G22</f>
        <v>2.9940000000351574E-2</v>
      </c>
      <c r="O22">
        <f t="shared" ref="O22:O35" ca="1" si="4">+C$11+C$12*$F22</f>
        <v>-5.2579756894068541E-4</v>
      </c>
      <c r="P22">
        <f t="shared" ref="P22:P35" ca="1" si="5">+D$11+D$12*$F22</f>
        <v>8.0525572855888072E-2</v>
      </c>
      <c r="Q22" s="2">
        <f t="shared" ref="Q22:Q35" si="6">+C22-15018.5</f>
        <v>38594.903440000002</v>
      </c>
      <c r="S22">
        <f>G22</f>
        <v>2.9940000000351574E-2</v>
      </c>
    </row>
    <row r="23" spans="1:19" x14ac:dyDescent="0.2">
      <c r="A23" s="30" t="s">
        <v>51</v>
      </c>
      <c r="B23" s="33" t="s">
        <v>50</v>
      </c>
      <c r="C23" s="34">
        <v>53613.404999999999</v>
      </c>
      <c r="D23" s="34">
        <v>2.0000000000000001E-4</v>
      </c>
      <c r="E23">
        <f t="shared" si="0"/>
        <v>514.50757393604226</v>
      </c>
      <c r="F23">
        <f t="shared" si="1"/>
        <v>514.5</v>
      </c>
      <c r="G23">
        <f t="shared" si="2"/>
        <v>3.1499999997322448E-2</v>
      </c>
      <c r="H23">
        <f t="shared" si="3"/>
        <v>3.1499999997322448E-2</v>
      </c>
      <c r="O23">
        <f t="shared" ca="1" si="4"/>
        <v>-5.2579756894068541E-4</v>
      </c>
      <c r="P23">
        <f t="shared" ca="1" si="5"/>
        <v>8.0525572855888072E-2</v>
      </c>
      <c r="Q23" s="2">
        <f t="shared" si="6"/>
        <v>38594.904999999999</v>
      </c>
      <c r="S23">
        <f>G23</f>
        <v>3.1499999997322448E-2</v>
      </c>
    </row>
    <row r="24" spans="1:19" x14ac:dyDescent="0.2">
      <c r="A24" s="35" t="s">
        <v>52</v>
      </c>
      <c r="B24" s="32" t="s">
        <v>53</v>
      </c>
      <c r="C24" s="31">
        <v>54763.337879999999</v>
      </c>
      <c r="D24" s="31">
        <v>1E-4</v>
      </c>
      <c r="E24">
        <f t="shared" si="0"/>
        <v>791.00021158932441</v>
      </c>
      <c r="F24">
        <f t="shared" si="1"/>
        <v>791</v>
      </c>
      <c r="G24">
        <f t="shared" si="2"/>
        <v>8.7999999959720299E-4</v>
      </c>
      <c r="H24">
        <f t="shared" si="3"/>
        <v>8.7999999959720299E-4</v>
      </c>
      <c r="O24">
        <f t="shared" ca="1" si="4"/>
        <v>-3.6660933753098482E-4</v>
      </c>
      <c r="P24">
        <f t="shared" ca="1" si="5"/>
        <v>4.7844822336457191E-2</v>
      </c>
      <c r="Q24" s="2">
        <f t="shared" si="6"/>
        <v>39744.837879999999</v>
      </c>
      <c r="R24">
        <f>G24</f>
        <v>8.7999999959720299E-4</v>
      </c>
    </row>
    <row r="25" spans="1:19" x14ac:dyDescent="0.2">
      <c r="A25" s="36" t="s">
        <v>54</v>
      </c>
      <c r="B25" s="37" t="s">
        <v>50</v>
      </c>
      <c r="C25" s="36">
        <v>55580.603199999998</v>
      </c>
      <c r="D25" s="36">
        <v>5.9999999999999995E-4</v>
      </c>
      <c r="E25">
        <f t="shared" si="0"/>
        <v>987.50545804279841</v>
      </c>
      <c r="F25">
        <f t="shared" si="1"/>
        <v>987.5</v>
      </c>
      <c r="G25">
        <f t="shared" si="2"/>
        <v>2.2700000001350418E-2</v>
      </c>
      <c r="H25">
        <f t="shared" si="3"/>
        <v>2.2700000001350418E-2</v>
      </c>
      <c r="O25">
        <f t="shared" ca="1" si="4"/>
        <v>-2.534791839251759E-4</v>
      </c>
      <c r="P25">
        <f t="shared" ca="1" si="5"/>
        <v>2.461962350438425E-2</v>
      </c>
      <c r="Q25" s="2">
        <f t="shared" si="6"/>
        <v>40562.103199999998</v>
      </c>
      <c r="S25">
        <f>G25</f>
        <v>2.2700000001350418E-2</v>
      </c>
    </row>
    <row r="26" spans="1:19" x14ac:dyDescent="0.2">
      <c r="A26" s="35" t="s">
        <v>55</v>
      </c>
      <c r="B26" s="32" t="s">
        <v>53</v>
      </c>
      <c r="C26" s="31">
        <v>55811.40264</v>
      </c>
      <c r="D26" s="31">
        <v>2.9999999999999997E-4</v>
      </c>
      <c r="E26">
        <f t="shared" si="0"/>
        <v>1042.9994325559032</v>
      </c>
      <c r="F26">
        <f t="shared" si="1"/>
        <v>1043</v>
      </c>
      <c r="G26">
        <f t="shared" si="2"/>
        <v>-2.3599999985890463E-3</v>
      </c>
      <c r="H26">
        <f t="shared" si="3"/>
        <v>-2.3599999985890463E-3</v>
      </c>
      <c r="O26">
        <f t="shared" ca="1" si="4"/>
        <v>-2.2152639244872607E-4</v>
      </c>
      <c r="P26">
        <f t="shared" ca="1" si="5"/>
        <v>1.8059834521279683E-2</v>
      </c>
      <c r="Q26" s="2">
        <f t="shared" si="6"/>
        <v>40792.90264</v>
      </c>
      <c r="R26">
        <f>G26</f>
        <v>-2.3599999985890463E-3</v>
      </c>
    </row>
    <row r="27" spans="1:19" x14ac:dyDescent="0.2">
      <c r="A27" s="36" t="s">
        <v>56</v>
      </c>
      <c r="B27" s="37" t="s">
        <v>50</v>
      </c>
      <c r="C27" s="36">
        <v>55846.774700000002</v>
      </c>
      <c r="D27" s="36">
        <v>5.9999999999999995E-4</v>
      </c>
      <c r="E27">
        <f t="shared" si="0"/>
        <v>1051.5043760519361</v>
      </c>
      <c r="F27">
        <f t="shared" si="1"/>
        <v>1051.5</v>
      </c>
      <c r="G27">
        <f t="shared" si="2"/>
        <v>1.8199999998614658E-2</v>
      </c>
      <c r="H27">
        <f t="shared" si="3"/>
        <v>1.8199999998614658E-2</v>
      </c>
      <c r="O27">
        <f t="shared" ca="1" si="4"/>
        <v>-2.1663272168206255E-4</v>
      </c>
      <c r="P27">
        <f t="shared" ca="1" si="5"/>
        <v>1.7055182154497903E-2</v>
      </c>
      <c r="Q27" s="2">
        <f t="shared" si="6"/>
        <v>40828.274700000002</v>
      </c>
      <c r="S27">
        <f>G27</f>
        <v>1.8199999998614658E-2</v>
      </c>
    </row>
    <row r="28" spans="1:19" x14ac:dyDescent="0.2">
      <c r="A28" s="35" t="s">
        <v>55</v>
      </c>
      <c r="B28" s="32" t="s">
        <v>50</v>
      </c>
      <c r="C28" s="31">
        <v>55867.568189999998</v>
      </c>
      <c r="D28" s="31">
        <v>2.9999999999999997E-4</v>
      </c>
      <c r="E28">
        <f t="shared" si="0"/>
        <v>1056.5040129838901</v>
      </c>
      <c r="F28">
        <f t="shared" si="1"/>
        <v>1056.5</v>
      </c>
      <c r="G28">
        <f t="shared" si="2"/>
        <v>1.6689999996742699E-2</v>
      </c>
      <c r="H28">
        <f t="shared" si="3"/>
        <v>1.6689999996742699E-2</v>
      </c>
      <c r="O28">
        <f t="shared" ca="1" si="4"/>
        <v>-2.1375409181931932E-4</v>
      </c>
      <c r="P28">
        <f t="shared" ca="1" si="5"/>
        <v>1.6464210174038027E-2</v>
      </c>
      <c r="Q28" s="2">
        <f t="shared" si="6"/>
        <v>40849.068189999998</v>
      </c>
      <c r="S28">
        <f>G28</f>
        <v>1.6689999996742699E-2</v>
      </c>
    </row>
    <row r="29" spans="1:19" x14ac:dyDescent="0.2">
      <c r="A29" s="36" t="s">
        <v>56</v>
      </c>
      <c r="B29" s="37" t="s">
        <v>53</v>
      </c>
      <c r="C29" s="36">
        <v>55869.625699999997</v>
      </c>
      <c r="D29" s="36">
        <v>5.9999999999999995E-4</v>
      </c>
      <c r="E29">
        <f t="shared" si="0"/>
        <v>1056.9987256552051</v>
      </c>
      <c r="F29">
        <f t="shared" si="1"/>
        <v>1057</v>
      </c>
      <c r="G29">
        <f t="shared" si="2"/>
        <v>-5.300000004353933E-3</v>
      </c>
      <c r="H29">
        <f t="shared" si="3"/>
        <v>-5.300000004353933E-3</v>
      </c>
      <c r="O29">
        <f t="shared" ca="1" si="4"/>
        <v>-2.1346622883304501E-4</v>
      </c>
      <c r="P29">
        <f t="shared" ca="1" si="5"/>
        <v>1.6405112975992037E-2</v>
      </c>
      <c r="Q29" s="2">
        <f t="shared" si="6"/>
        <v>40851.125699999997</v>
      </c>
      <c r="R29">
        <f>G29</f>
        <v>-5.300000004353933E-3</v>
      </c>
    </row>
    <row r="30" spans="1:19" x14ac:dyDescent="0.2">
      <c r="A30" s="35" t="s">
        <v>57</v>
      </c>
      <c r="B30" s="32" t="s">
        <v>50</v>
      </c>
      <c r="C30" s="31">
        <v>56262.662499999999</v>
      </c>
      <c r="D30" s="31">
        <v>5.0000000000000001E-4</v>
      </c>
      <c r="E30">
        <f t="shared" si="0"/>
        <v>1151.5014426544842</v>
      </c>
      <c r="F30">
        <f t="shared" si="1"/>
        <v>1151.5</v>
      </c>
      <c r="G30">
        <f t="shared" si="2"/>
        <v>6.0000000012223609E-3</v>
      </c>
      <c r="H30">
        <f t="shared" si="3"/>
        <v>6.0000000012223609E-3</v>
      </c>
      <c r="O30">
        <f t="shared" ca="1" si="4"/>
        <v>-1.5906012442719797E-4</v>
      </c>
      <c r="P30">
        <f t="shared" ca="1" si="5"/>
        <v>5.2357425453004591E-3</v>
      </c>
      <c r="Q30" s="2">
        <f t="shared" si="6"/>
        <v>41244.162499999999</v>
      </c>
      <c r="S30">
        <f>G30</f>
        <v>6.0000000012223609E-3</v>
      </c>
    </row>
    <row r="31" spans="1:19" x14ac:dyDescent="0.2">
      <c r="A31" s="38" t="s">
        <v>58</v>
      </c>
      <c r="B31" s="39" t="s">
        <v>50</v>
      </c>
      <c r="C31" s="40">
        <v>56441.496899999998</v>
      </c>
      <c r="D31" s="40">
        <v>2E-3</v>
      </c>
      <c r="E31">
        <f t="shared" si="0"/>
        <v>1194.5008175042076</v>
      </c>
      <c r="F31">
        <f t="shared" si="1"/>
        <v>1194.5</v>
      </c>
      <c r="G31">
        <f t="shared" si="2"/>
        <v>3.4000000014202669E-3</v>
      </c>
      <c r="H31">
        <f t="shared" si="3"/>
        <v>3.4000000014202669E-3</v>
      </c>
      <c r="O31">
        <f t="shared" ca="1" si="4"/>
        <v>-1.3430390760760626E-4</v>
      </c>
      <c r="P31">
        <f t="shared" ca="1" si="5"/>
        <v>1.5338351334556743E-4</v>
      </c>
      <c r="Q31" s="2">
        <f t="shared" si="6"/>
        <v>41422.996899999998</v>
      </c>
      <c r="S31">
        <f>G31</f>
        <v>3.4000000014202669E-3</v>
      </c>
    </row>
    <row r="32" spans="1:19" x14ac:dyDescent="0.2">
      <c r="A32" s="41" t="s">
        <v>59</v>
      </c>
      <c r="B32" s="42" t="s">
        <v>53</v>
      </c>
      <c r="C32" s="41">
        <v>56526.754300000001</v>
      </c>
      <c r="D32" s="41">
        <v>5.0000000000000001E-4</v>
      </c>
      <c r="E32">
        <f t="shared" si="0"/>
        <v>1215.0003125751387</v>
      </c>
      <c r="F32">
        <f t="shared" si="1"/>
        <v>1215</v>
      </c>
      <c r="G32">
        <f t="shared" si="2"/>
        <v>1.3000000035390258E-3</v>
      </c>
      <c r="H32">
        <f t="shared" si="3"/>
        <v>1.3000000035390258E-3</v>
      </c>
      <c r="O32">
        <f t="shared" ca="1" si="4"/>
        <v>-1.2250152517035904E-4</v>
      </c>
      <c r="P32">
        <f t="shared" ca="1" si="5"/>
        <v>-2.2696016065398839E-3</v>
      </c>
      <c r="Q32" s="2">
        <f t="shared" si="6"/>
        <v>41508.254300000001</v>
      </c>
      <c r="R32">
        <f>G32</f>
        <v>1.3000000035390258E-3</v>
      </c>
    </row>
    <row r="33" spans="1:19" x14ac:dyDescent="0.2">
      <c r="A33" s="38" t="s">
        <v>58</v>
      </c>
      <c r="B33" s="39" t="s">
        <v>50</v>
      </c>
      <c r="C33" s="40">
        <v>56645.275399999999</v>
      </c>
      <c r="D33" s="40">
        <v>8.8999999999999999E-3</v>
      </c>
      <c r="E33">
        <f t="shared" si="0"/>
        <v>1243.4978119740322</v>
      </c>
      <c r="F33">
        <f t="shared" si="1"/>
        <v>1243.5</v>
      </c>
      <c r="G33">
        <f t="shared" si="2"/>
        <v>-9.1000000029453076E-3</v>
      </c>
      <c r="H33">
        <f t="shared" si="3"/>
        <v>-9.1000000029453076E-3</v>
      </c>
      <c r="O33">
        <f t="shared" ca="1" si="4"/>
        <v>-1.060933349527226E-4</v>
      </c>
      <c r="P33">
        <f t="shared" ca="1" si="5"/>
        <v>-5.6381418951611528E-3</v>
      </c>
      <c r="Q33" s="2">
        <f t="shared" si="6"/>
        <v>41626.775399999999</v>
      </c>
      <c r="S33">
        <f>G33</f>
        <v>-9.1000000029453076E-3</v>
      </c>
    </row>
    <row r="34" spans="1:19" x14ac:dyDescent="0.2">
      <c r="A34" s="43" t="s">
        <v>60</v>
      </c>
      <c r="B34" s="37"/>
      <c r="C34" s="36">
        <v>56917.701699999998</v>
      </c>
      <c r="D34" s="36">
        <v>2.0000000000000001E-4</v>
      </c>
      <c r="E34">
        <f t="shared" si="0"/>
        <v>1309.0006491945176</v>
      </c>
      <c r="F34">
        <f t="shared" si="1"/>
        <v>1309</v>
      </c>
      <c r="G34">
        <f t="shared" si="2"/>
        <v>2.6999999972758815E-3</v>
      </c>
      <c r="H34">
        <f t="shared" si="3"/>
        <v>2.6999999972758815E-3</v>
      </c>
      <c r="O34">
        <f t="shared" ca="1" si="4"/>
        <v>-6.8383283750786308E-5</v>
      </c>
      <c r="P34">
        <f t="shared" ca="1" si="5"/>
        <v>-1.3379874839185485E-2</v>
      </c>
      <c r="Q34" s="2">
        <f t="shared" si="6"/>
        <v>41899.201699999998</v>
      </c>
      <c r="R34">
        <f>G34</f>
        <v>2.6999999972758815E-3</v>
      </c>
    </row>
    <row r="35" spans="1:19" x14ac:dyDescent="0.2">
      <c r="A35" s="38" t="s">
        <v>58</v>
      </c>
      <c r="B35" s="39" t="s">
        <v>53</v>
      </c>
      <c r="C35" s="40">
        <v>56938.494899999998</v>
      </c>
      <c r="D35" s="40">
        <v>5.9999999999999995E-4</v>
      </c>
      <c r="E35">
        <f t="shared" si="0"/>
        <v>1314.0002163981724</v>
      </c>
      <c r="F35">
        <f t="shared" si="1"/>
        <v>1314</v>
      </c>
      <c r="G35">
        <f t="shared" si="2"/>
        <v>8.9999999909196049E-4</v>
      </c>
      <c r="H35">
        <f t="shared" si="3"/>
        <v>8.9999999909196049E-4</v>
      </c>
      <c r="O35">
        <f t="shared" ca="1" si="4"/>
        <v>-6.5504653888043079E-5</v>
      </c>
      <c r="P35">
        <f t="shared" ca="1" si="5"/>
        <v>-1.3970846819645361E-2</v>
      </c>
      <c r="Q35" s="2">
        <f t="shared" si="6"/>
        <v>41919.994899999998</v>
      </c>
      <c r="R35">
        <f>G35</f>
        <v>8.9999999909196049E-4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2024-01-20T05:29:35Z</dcterms:modified>
</cp:coreProperties>
</file>