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81C83F4-EA61-4AAC-BBF1-51FE077D310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5" i="1" l="1"/>
  <c r="C9" i="1"/>
  <c r="F16" i="1"/>
  <c r="F17" i="1" s="1"/>
  <c r="Q24" i="1"/>
  <c r="D9" i="1"/>
  <c r="Q23" i="1"/>
  <c r="D23" i="1"/>
  <c r="Q22" i="1"/>
  <c r="C7" i="1"/>
  <c r="C8" i="1"/>
  <c r="Q21" i="1"/>
  <c r="C17" i="1"/>
  <c r="E24" i="1"/>
  <c r="F24" i="1"/>
  <c r="G24" i="1"/>
  <c r="K24" i="1"/>
  <c r="E25" i="1"/>
  <c r="F25" i="1"/>
  <c r="G25" i="1"/>
  <c r="K25" i="1"/>
  <c r="E21" i="1"/>
  <c r="F21" i="1"/>
  <c r="G21" i="1"/>
  <c r="I21" i="1"/>
  <c r="E22" i="1"/>
  <c r="F22" i="1"/>
  <c r="G22" i="1"/>
  <c r="I22" i="1"/>
  <c r="E23" i="1"/>
  <c r="F23" i="1"/>
  <c r="G23" i="1"/>
  <c r="I23" i="1"/>
  <c r="C12" i="1"/>
  <c r="C11" i="1"/>
  <c r="O22" i="1" l="1"/>
  <c r="O21" i="1"/>
  <c r="C15" i="1"/>
  <c r="F18" i="1" s="1"/>
  <c r="O25" i="1"/>
  <c r="O23" i="1"/>
  <c r="O24" i="1"/>
  <c r="C16" i="1"/>
  <c r="D18" i="1" s="1"/>
  <c r="C18" i="1" l="1"/>
  <c r="F19" i="1"/>
</calcChain>
</file>

<file path=xl/sharedStrings.xml><?xml version="1.0" encoding="utf-8"?>
<sst xmlns="http://schemas.openxmlformats.org/spreadsheetml/2006/main" count="52" uniqueCount="49">
  <si>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</si>
  <si>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</si>
  <si>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</si>
  <si>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</si>
  <si>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</si>
  <si>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</si>
  <si>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</si>
  <si>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</si>
  <si>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</si>
  <si>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</si>
  <si>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</si>
  <si>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</si>
  <si>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</si>
  <si>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</si>
  <si>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</si>
  <si>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</si>
  <si>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</si>
  <si>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</si>
  <si>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</si>
  <si>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</si>
  <si>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</si>
  <si>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</si>
  <si>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</si>
  <si>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</si>
  <si>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</si>
  <si>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</si>
  <si>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</si>
  <si>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</si>
  <si>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</si>
  <si>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</si>
  <si>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</si>
  <si>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</si>
  <si>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</si>
  <si>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</si>
  <si>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</si>
  <si>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</si>
  <si>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BD Cen / GSC 8690-0487               </t>
  </si>
  <si>
    <t xml:space="preserve">EA/KE:    </t>
  </si>
  <si>
    <t>IBVS 5809</t>
  </si>
  <si>
    <t>II</t>
  </si>
  <si>
    <t>OEJV 0073</t>
  </si>
  <si>
    <t>OEJV 0160</t>
  </si>
  <si>
    <t>Add cycle</t>
  </si>
  <si>
    <t>Old Cycle</t>
  </si>
  <si>
    <t>JAVSO..44…26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</si>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</sst>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>
      <alignment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Cen - O-C Diagr.</a:t>
            </a:r>
          </a:p>
        </c:rich>
      </c:tx>
      <c:layout>
        <c:manualLayout>
          <c:xMode val="edge"/>
          <c:yMode val="edge"/>
          <c:x val="0.38345864661654133"/>
          <c:y val="3.488357814922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3953488372093023"/>
          <c:w val="0.82105263157894737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279</c:v>
                </c:pt>
                <c:pt idx="2">
                  <c:v>1474.5</c:v>
                </c:pt>
                <c:pt idx="3">
                  <c:v>3253</c:v>
                </c:pt>
                <c:pt idx="4">
                  <c:v>3869.5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D2-4859-9682-656EEE5288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279</c:v>
                </c:pt>
                <c:pt idx="2">
                  <c:v>1474.5</c:v>
                </c:pt>
                <c:pt idx="3">
                  <c:v>3253</c:v>
                </c:pt>
                <c:pt idx="4">
                  <c:v>3869.5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0</c:v>
                </c:pt>
                <c:pt idx="1">
                  <c:v>1.2148499998147599E-2</c:v>
                </c:pt>
                <c:pt idx="2">
                  <c:v>3.0267500333138742E-3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D2-4859-9682-656EEE5288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279</c:v>
                </c:pt>
                <c:pt idx="2">
                  <c:v>1474.5</c:v>
                </c:pt>
                <c:pt idx="3">
                  <c:v>3253</c:v>
                </c:pt>
                <c:pt idx="4">
                  <c:v>3869.5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D2-4859-9682-656EEE5288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279</c:v>
                </c:pt>
                <c:pt idx="2">
                  <c:v>1474.5</c:v>
                </c:pt>
                <c:pt idx="3">
                  <c:v>3253</c:v>
                </c:pt>
                <c:pt idx="4">
                  <c:v>3869.5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3">
                  <c:v>7.6894999947398901E-3</c:v>
                </c:pt>
                <c:pt idx="4">
                  <c:v>6.5692499993019737E-3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D2-4859-9682-656EEE5288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279</c:v>
                </c:pt>
                <c:pt idx="2">
                  <c:v>1474.5</c:v>
                </c:pt>
                <c:pt idx="3">
                  <c:v>3253</c:v>
                </c:pt>
                <c:pt idx="4">
                  <c:v>3869.5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D2-4859-9682-656EEE5288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279</c:v>
                </c:pt>
                <c:pt idx="2">
                  <c:v>1474.5</c:v>
                </c:pt>
                <c:pt idx="3">
                  <c:v>3253</c:v>
                </c:pt>
                <c:pt idx="4">
                  <c:v>3869.5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D2-4859-9682-656EEE5288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2E-3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279</c:v>
                </c:pt>
                <c:pt idx="2">
                  <c:v>1474.5</c:v>
                </c:pt>
                <c:pt idx="3">
                  <c:v>3253</c:v>
                </c:pt>
                <c:pt idx="4">
                  <c:v>3869.5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D2-4859-9682-656EEE5288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279</c:v>
                </c:pt>
                <c:pt idx="2">
                  <c:v>1474.5</c:v>
                </c:pt>
                <c:pt idx="3">
                  <c:v>3253</c:v>
                </c:pt>
                <c:pt idx="4">
                  <c:v>3869.5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4.9977833807707114E-3</c:v>
                </c:pt>
                <c:pt idx="1">
                  <c:v>5.1375060250857503E-3</c:v>
                </c:pt>
                <c:pt idx="2">
                  <c:v>5.7362100440055694E-3</c:v>
                </c:pt>
                <c:pt idx="3">
                  <c:v>6.6268793017629085E-3</c:v>
                </c:pt>
                <c:pt idx="4">
                  <c:v>6.9356212738783986E-3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D2-4859-9682-656EEE52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552344"/>
        <c:axId val="1"/>
      </c:scatterChart>
      <c:valAx>
        <c:axId val="640552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302343785974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99992325520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552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441865819404156"/>
          <c:w val="0.68872180451127818"/>
          <c:h val="5.81397062209328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0</xdr:row>
      <xdr:rowOff>28575</xdr:rowOff>
    </xdr:from>
    <xdr:to>
      <xdr:col>17</xdr:col>
      <xdr:colOff>66675</xdr:colOff>
      <xdr:row>19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589640A-0853-AA26-E460-FE1333B3F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22"/>
  <sheetViews>
    <sheetView tabSelected="1" workbookViewId="0">
      <selection activeCell="E11" sqref="E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>
      <c r="A2" t="s">
        <v>21</v>
      </c>
      <c r="B2" s="33" t="s">
        <v>37</v>
      </c>
      <c r="C2" s="3"/>
      <c r="D2" s="3"/>
    </row>
    <row r="3" spans="1:6" ht="13.5" thickBot="1"/>
    <row r="4" spans="1:6" ht="14.25" thickTop="1" thickBot="1">
      <c r="A4" s="5" t="s">
        <v>35</v>
      </c>
      <c r="C4" s="8">
        <v>52500.294000000002</v>
      </c>
      <c r="D4" s="9">
        <v>1.2011285</v>
      </c>
    </row>
    <row r="5" spans="1:6" ht="13.5" thickTop="1">
      <c r="C5" s="30" t="s">
        <v>33</v>
      </c>
    </row>
    <row r="6" spans="1:6">
      <c r="A6" s="11" t="s">
        <v>26</v>
      </c>
      <c r="B6" s="12"/>
      <c r="C6" s="13">
        <v>-9.5</v>
      </c>
      <c r="D6" s="12" t="s">
        <v>27</v>
      </c>
    </row>
    <row r="7" spans="1:6">
      <c r="A7" t="s">
        <v>0</v>
      </c>
      <c r="C7">
        <f>C4</f>
        <v>52500.294000000002</v>
      </c>
    </row>
    <row r="8" spans="1:6">
      <c r="A8" t="s">
        <v>1</v>
      </c>
      <c r="C8">
        <f>D4</f>
        <v>1.2011285</v>
      </c>
      <c r="D8" s="29"/>
    </row>
    <row r="9" spans="1:6">
      <c r="A9" s="26" t="s">
        <v>31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17</v>
      </c>
      <c r="D10" s="4" t="s">
        <v>18</v>
      </c>
      <c r="E10" s="12"/>
    </row>
    <row r="11" spans="1:6">
      <c r="A11" s="12" t="s">
        <v>13</v>
      </c>
      <c r="B11" s="12"/>
      <c r="C11" s="23">
        <f ca="1">INTERCEPT(INDIRECT($D$9):G974,INDIRECT($C$9):F974)</f>
        <v>4.9977833807707114E-3</v>
      </c>
      <c r="D11" s="3"/>
      <c r="E11" s="12"/>
    </row>
    <row r="12" spans="1:6">
      <c r="A12" s="12" t="s">
        <v>14</v>
      </c>
      <c r="B12" s="12"/>
      <c r="C12" s="23">
        <f ca="1">SLOPE(INDIRECT($D$9):G974,INDIRECT($C$9):F974)</f>
        <v>5.0079800829763193E-7</v>
      </c>
      <c r="D12" s="3"/>
      <c r="E12" s="12"/>
    </row>
    <row r="13" spans="1:6">
      <c r="A13" s="12" t="s">
        <v>16</v>
      </c>
      <c r="B13" s="12"/>
      <c r="C13" s="3" t="s">
        <v>11</v>
      </c>
    </row>
    <row r="14" spans="1:6">
      <c r="A14" s="12"/>
      <c r="B14" s="12"/>
      <c r="C14" s="12"/>
    </row>
    <row r="15" spans="1:6">
      <c r="A15" s="14" t="s">
        <v>15</v>
      </c>
      <c r="B15" s="12"/>
      <c r="C15" s="15">
        <f ca="1">(C7+C11)+(C8+C12)*INT(MAX(F21:F3515))</f>
        <v>57147.467101870883</v>
      </c>
      <c r="E15" s="16" t="s">
        <v>42</v>
      </c>
      <c r="F15" s="13">
        <v>1</v>
      </c>
    </row>
    <row r="16" spans="1:6">
      <c r="A16" s="18" t="s">
        <v>2</v>
      </c>
      <c r="B16" s="12"/>
      <c r="C16" s="19">
        <f ca="1">+C8+C12</f>
        <v>1.2011290007980084</v>
      </c>
      <c r="E16" s="16" t="s">
        <v>28</v>
      </c>
      <c r="F16" s="17">
        <f ca="1">NOW()+15018.5+$C$6/24</f>
        <v>60331.771662384257</v>
      </c>
    </row>
    <row r="17" spans="1:18" ht="13.5" thickBot="1">
      <c r="A17" s="16" t="s">
        <v>25</v>
      </c>
      <c r="B17" s="12"/>
      <c r="C17" s="12">
        <f>COUNT(C21:C2173)</f>
        <v>5</v>
      </c>
      <c r="E17" s="16" t="s">
        <v>43</v>
      </c>
      <c r="F17" s="17">
        <f ca="1">ROUND(2*(F16-$C$7)/$C$8,0)/2+F15</f>
        <v>6521</v>
      </c>
    </row>
    <row r="18" spans="1:18" ht="14.25" thickTop="1" thickBot="1">
      <c r="A18" s="18" t="s">
        <v>3</v>
      </c>
      <c r="B18" s="12"/>
      <c r="C18" s="21">
        <f ca="1">+C15</f>
        <v>57147.467101870883</v>
      </c>
      <c r="D18" s="22">
        <f ca="1">+C16</f>
        <v>1.2011290007980084</v>
      </c>
      <c r="E18" s="16" t="s">
        <v>29</v>
      </c>
      <c r="F18" s="25">
        <f ca="1">ROUND(2*(F16-$C$15)/$C$16,0)/2+F15</f>
        <v>2652</v>
      </c>
    </row>
    <row r="19" spans="1:18" ht="13.5" thickTop="1">
      <c r="E19" s="16" t="s">
        <v>30</v>
      </c>
      <c r="F19" s="20">
        <f ca="1">+$C$15+$C$16*F18-15018.5-$C$6/24</f>
        <v>45314.757045320534</v>
      </c>
    </row>
    <row r="20" spans="1:18" ht="13.5" thickBot="1">
      <c r="A20" s="4" t="s">
        <v>4</v>
      </c>
      <c r="B20" s="4" t="s">
        <v>5</v>
      </c>
      <c r="C20" s="4" t="s">
        <v>6</v>
      </c>
      <c r="D20" s="4" t="s">
        <v>10</v>
      </c>
      <c r="E20" s="4" t="s">
        <v>7</v>
      </c>
      <c r="F20" s="4" t="s">
        <v>8</v>
      </c>
      <c r="G20" s="4" t="s">
        <v>9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22</v>
      </c>
      <c r="M20" s="7" t="s">
        <v>23</v>
      </c>
      <c r="N20" s="7" t="s">
        <v>24</v>
      </c>
      <c r="O20" s="7" t="s">
        <v>20</v>
      </c>
      <c r="P20" s="6" t="s">
        <v>19</v>
      </c>
      <c r="Q20" s="4" t="s">
        <v>12</v>
      </c>
      <c r="R20" s="40"/>
    </row>
    <row r="21" spans="1:18">
      <c r="A21" s="32" t="s">
        <v>34</v>
      </c>
      <c r="B21" s="31" t="s">
        <v>32</v>
      </c>
      <c r="C21" s="32">
        <v>52500.294000000002</v>
      </c>
      <c r="D21" s="2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4.9977833807707114E-3</v>
      </c>
      <c r="Q21" s="2">
        <f>+C21-15018.5</f>
        <v>37481.794000000002</v>
      </c>
    </row>
    <row r="22" spans="1:18">
      <c r="A22" s="35" t="s">
        <v>38</v>
      </c>
      <c r="B22" s="34" t="s">
        <v>39</v>
      </c>
      <c r="C22" s="35">
        <v>52835.421000000002</v>
      </c>
      <c r="D22" s="35">
        <v>2E-3</v>
      </c>
      <c r="E22">
        <f>+(C22-C$7)/C$8</f>
        <v>279.01011423840197</v>
      </c>
      <c r="F22">
        <f>ROUND(2*E22,0)/2</f>
        <v>279</v>
      </c>
      <c r="G22">
        <f>+C22-(C$7+F22*C$8)</f>
        <v>1.2148499998147599E-2</v>
      </c>
      <c r="I22">
        <f>+G22</f>
        <v>1.2148499998147599E-2</v>
      </c>
      <c r="O22">
        <f ca="1">+C$11+C$12*$F22</f>
        <v>5.1375060250857503E-3</v>
      </c>
      <c r="Q22" s="2">
        <f>+C22-15018.5</f>
        <v>37816.921000000002</v>
      </c>
    </row>
    <row r="23" spans="1:18">
      <c r="A23" s="36" t="s">
        <v>40</v>
      </c>
      <c r="B23" s="37" t="s">
        <v>32</v>
      </c>
      <c r="C23" s="38">
        <v>54271.361000000034</v>
      </c>
      <c r="D23" s="38">
        <f>0.003</f>
        <v>3.0000000000000001E-3</v>
      </c>
      <c r="E23" s="39">
        <f>+(C23-C$7)/C$8</f>
        <v>1474.5025199219165</v>
      </c>
      <c r="F23">
        <f>ROUND(2*E23,0)/2</f>
        <v>1474.5</v>
      </c>
      <c r="G23">
        <f>+C23-(C$7+F23*C$8)</f>
        <v>3.0267500333138742E-3</v>
      </c>
      <c r="I23">
        <f>+G23</f>
        <v>3.0267500333138742E-3</v>
      </c>
      <c r="O23">
        <f ca="1">+C$11+C$12*$F23</f>
        <v>5.7362100440055694E-3</v>
      </c>
      <c r="Q23" s="2">
        <f>+C23-15018.5</f>
        <v>39252.861000000034</v>
      </c>
    </row>
    <row r="24" spans="1:18">
      <c r="A24" s="41" t="s">
        <v>41</v>
      </c>
      <c r="B24" s="42" t="s">
        <v>39</v>
      </c>
      <c r="C24" s="43">
        <v>56407.572699999997</v>
      </c>
      <c r="D24" s="43">
        <v>2.0000000000000001E-4</v>
      </c>
      <c r="E24" s="39">
        <f>+(C24-C$7)/C$8</f>
        <v>3253.0064018962125</v>
      </c>
      <c r="F24">
        <f>ROUND(2*E24,0)/2</f>
        <v>3253</v>
      </c>
      <c r="G24">
        <f>+C24-(C$7+F24*C$8)</f>
        <v>7.6894999947398901E-3</v>
      </c>
      <c r="K24">
        <f>+G24</f>
        <v>7.6894999947398901E-3</v>
      </c>
      <c r="O24">
        <f ca="1">+C$11+C$12*$F24</f>
        <v>6.6268793017629085E-3</v>
      </c>
      <c r="Q24" s="2">
        <f>+C24-15018.5</f>
        <v>41389.072699999997</v>
      </c>
    </row>
    <row r="25" spans="1:18">
      <c r="A25" s="44" t="s">
        <v>44</v>
      </c>
      <c r="B25" s="45" t="s">
        <v>39</v>
      </c>
      <c r="C25" s="46">
        <v>57148.067300000002</v>
      </c>
      <c r="D25" s="46">
        <v>2.9999999999999997E-4</v>
      </c>
      <c r="E25" s="39">
        <f>+(C25-C$7)/C$8</f>
        <v>3869.5054692316439</v>
      </c>
      <c r="F25">
        <f>ROUND(2*E25,0)/2</f>
        <v>3869.5</v>
      </c>
      <c r="G25">
        <f>+C25-(C$7+F25*C$8)</f>
        <v>6.5692499993019737E-3</v>
      </c>
      <c r="K25">
        <f>+G25</f>
        <v>6.5692499993019737E-3</v>
      </c>
      <c r="O25">
        <f ca="1">+C$11+C$12*$F25</f>
        <v>6.9356212738783986E-3</v>
      </c>
      <c r="Q25" s="2">
        <f>+C25-15018.5</f>
        <v>42129.567300000002</v>
      </c>
    </row>
    <row r="26" spans="1:18">
      <c r="C26" s="10"/>
      <c r="D26" s="10"/>
    </row>
    <row r="27" spans="1:18">
      <c r="C27" s="10"/>
      <c r="D27" s="10"/>
    </row>
    <row r="28" spans="1:18">
      <c r="C28" s="10"/>
      <c r="D28" s="10"/>
    </row>
    <row r="29" spans="1:18">
      <c r="C29" s="10"/>
      <c r="D29" s="10"/>
    </row>
    <row r="30" spans="1:18">
      <c r="C30" s="10"/>
      <c r="D30" s="10"/>
    </row>
    <row r="31" spans="1:18">
      <c r="C31" s="10"/>
      <c r="D31" s="10"/>
    </row>
    <row r="32" spans="1:18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2024-01-22T05:31:11Z</dcterms:modified>
</cp:coreProperties>
</file>