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F8005EB-5B07-4484-99F5-469B9BBB3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Q56" i="1"/>
  <c r="Q54" i="1"/>
  <c r="Q55" i="1"/>
  <c r="D9" i="1"/>
  <c r="C9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44" i="1"/>
  <c r="Q45" i="1"/>
  <c r="Q46" i="1"/>
  <c r="Q49" i="1"/>
  <c r="Q50" i="1"/>
  <c r="Q51" i="1"/>
  <c r="G20" i="2"/>
  <c r="C20" i="2"/>
  <c r="G19" i="2"/>
  <c r="C19" i="2"/>
  <c r="G42" i="2"/>
  <c r="C42" i="2"/>
  <c r="G41" i="2"/>
  <c r="C41" i="2"/>
  <c r="G40" i="2"/>
  <c r="C40" i="2"/>
  <c r="G18" i="2"/>
  <c r="C18" i="2"/>
  <c r="G17" i="2"/>
  <c r="C17" i="2"/>
  <c r="G39" i="2"/>
  <c r="C39" i="2"/>
  <c r="G38" i="2"/>
  <c r="C38" i="2"/>
  <c r="G37" i="2"/>
  <c r="C37" i="2"/>
  <c r="G16" i="2"/>
  <c r="C16" i="2"/>
  <c r="G15" i="2"/>
  <c r="C15" i="2"/>
  <c r="G14" i="2"/>
  <c r="C14" i="2"/>
  <c r="G13" i="2"/>
  <c r="C13" i="2"/>
  <c r="G12" i="2"/>
  <c r="C12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D19" i="2"/>
  <c r="B19" i="2"/>
  <c r="A19" i="2"/>
  <c r="H42" i="2"/>
  <c r="B42" i="2"/>
  <c r="D42" i="2"/>
  <c r="A42" i="2"/>
  <c r="H41" i="2"/>
  <c r="D41" i="2"/>
  <c r="B41" i="2"/>
  <c r="A41" i="2"/>
  <c r="H40" i="2"/>
  <c r="B40" i="2"/>
  <c r="D40" i="2"/>
  <c r="A40" i="2"/>
  <c r="H18" i="2"/>
  <c r="D18" i="2"/>
  <c r="B18" i="2"/>
  <c r="A18" i="2"/>
  <c r="H17" i="2"/>
  <c r="B17" i="2"/>
  <c r="D17" i="2"/>
  <c r="A17" i="2"/>
  <c r="H39" i="2"/>
  <c r="D39" i="2"/>
  <c r="B39" i="2"/>
  <c r="A39" i="2"/>
  <c r="H38" i="2"/>
  <c r="B38" i="2"/>
  <c r="D38" i="2"/>
  <c r="A38" i="2"/>
  <c r="H37" i="2"/>
  <c r="D37" i="2"/>
  <c r="B37" i="2"/>
  <c r="A3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Q53" i="1"/>
  <c r="Q52" i="1"/>
  <c r="F16" i="1"/>
  <c r="F17" i="1" s="1"/>
  <c r="C17" i="1"/>
  <c r="Q42" i="1"/>
  <c r="Q47" i="1"/>
  <c r="Q48" i="1"/>
  <c r="Q38" i="1"/>
  <c r="Q39" i="1"/>
  <c r="Q40" i="1"/>
  <c r="Q41" i="1"/>
  <c r="Q43" i="1"/>
  <c r="E56" i="1"/>
  <c r="F56" i="1" s="1"/>
  <c r="G56" i="1" s="1"/>
  <c r="I56" i="1" s="1"/>
  <c r="E52" i="1"/>
  <c r="F52" i="1" s="1"/>
  <c r="G52" i="1" s="1"/>
  <c r="J52" i="1" s="1"/>
  <c r="Q27" i="1"/>
  <c r="E23" i="2"/>
  <c r="E19" i="2"/>
  <c r="E42" i="1"/>
  <c r="F42" i="1" s="1"/>
  <c r="G42" i="1" s="1"/>
  <c r="I42" i="1" s="1"/>
  <c r="E33" i="1"/>
  <c r="E24" i="1"/>
  <c r="E24" i="2" s="1"/>
  <c r="E47" i="1"/>
  <c r="F47" i="1" s="1"/>
  <c r="G47" i="1" s="1"/>
  <c r="K47" i="1" s="1"/>
  <c r="E43" i="1"/>
  <c r="F43" i="1"/>
  <c r="E44" i="1"/>
  <c r="F44" i="1" s="1"/>
  <c r="U44" i="1" s="1"/>
  <c r="E30" i="1"/>
  <c r="F30" i="1" s="1"/>
  <c r="G30" i="1" s="1"/>
  <c r="I30" i="1" s="1"/>
  <c r="E46" i="1"/>
  <c r="F46" i="1" s="1"/>
  <c r="U46" i="1" s="1"/>
  <c r="E35" i="1"/>
  <c r="E34" i="2" s="1"/>
  <c r="E26" i="1"/>
  <c r="E26" i="2" s="1"/>
  <c r="F26" i="1"/>
  <c r="G26" i="1" s="1"/>
  <c r="H26" i="1" s="1"/>
  <c r="E21" i="1"/>
  <c r="E21" i="2" s="1"/>
  <c r="F21" i="1"/>
  <c r="G21" i="1"/>
  <c r="H21" i="1" s="1"/>
  <c r="E49" i="1"/>
  <c r="F49" i="1"/>
  <c r="G49" i="1" s="1"/>
  <c r="K49" i="1" s="1"/>
  <c r="E41" i="1"/>
  <c r="E14" i="2" s="1"/>
  <c r="F41" i="1"/>
  <c r="E38" i="1"/>
  <c r="E11" i="2" s="1"/>
  <c r="E32" i="1"/>
  <c r="E31" i="2" s="1"/>
  <c r="F32" i="1"/>
  <c r="G32" i="1" s="1"/>
  <c r="I32" i="1" s="1"/>
  <c r="E23" i="1"/>
  <c r="F23" i="1" s="1"/>
  <c r="G23" i="1" s="1"/>
  <c r="H23" i="1" s="1"/>
  <c r="E45" i="1"/>
  <c r="F45" i="1"/>
  <c r="U45" i="1" s="1"/>
  <c r="E55" i="1"/>
  <c r="F55" i="1"/>
  <c r="G55" i="1" s="1"/>
  <c r="I55" i="1" s="1"/>
  <c r="E39" i="1"/>
  <c r="F39" i="1" s="1"/>
  <c r="G39" i="1" s="1"/>
  <c r="I39" i="1" s="1"/>
  <c r="E37" i="1"/>
  <c r="F37" i="1" s="1"/>
  <c r="G37" i="1" s="1"/>
  <c r="I37" i="1" s="1"/>
  <c r="E29" i="1"/>
  <c r="F29" i="1"/>
  <c r="G29" i="1"/>
  <c r="I29" i="1" s="1"/>
  <c r="E51" i="1"/>
  <c r="F51" i="1" s="1"/>
  <c r="G51" i="1" s="1"/>
  <c r="I51" i="1" s="1"/>
  <c r="E40" i="1"/>
  <c r="F40" i="1" s="1"/>
  <c r="E34" i="1"/>
  <c r="F34" i="1"/>
  <c r="G34" i="1" s="1"/>
  <c r="I34" i="1" s="1"/>
  <c r="E25" i="1"/>
  <c r="F25" i="1" s="1"/>
  <c r="G25" i="1" s="1"/>
  <c r="H25" i="1" s="1"/>
  <c r="E48" i="1"/>
  <c r="E18" i="2" s="1"/>
  <c r="E27" i="1"/>
  <c r="F27" i="1" s="1"/>
  <c r="G27" i="1" s="1"/>
  <c r="H27" i="1" s="1"/>
  <c r="E31" i="1"/>
  <c r="E30" i="2" s="1"/>
  <c r="E22" i="1"/>
  <c r="E22" i="2" s="1"/>
  <c r="F22" i="1"/>
  <c r="G22" i="1" s="1"/>
  <c r="H22" i="1" s="1"/>
  <c r="E53" i="1"/>
  <c r="F53" i="1" s="1"/>
  <c r="G53" i="1" s="1"/>
  <c r="J53" i="1" s="1"/>
  <c r="G43" i="1"/>
  <c r="I43" i="1" s="1"/>
  <c r="E36" i="1"/>
  <c r="F36" i="1" s="1"/>
  <c r="G36" i="1" s="1"/>
  <c r="I36" i="1" s="1"/>
  <c r="E28" i="1"/>
  <c r="F28" i="1" s="1"/>
  <c r="G28" i="1" s="1"/>
  <c r="H28" i="1" s="1"/>
  <c r="E50" i="1"/>
  <c r="E41" i="2" s="1"/>
  <c r="E54" i="1"/>
  <c r="F54" i="1"/>
  <c r="G54" i="1" s="1"/>
  <c r="I54" i="1" s="1"/>
  <c r="E33" i="2"/>
  <c r="E29" i="2"/>
  <c r="E28" i="2"/>
  <c r="E38" i="2"/>
  <c r="E16" i="2"/>
  <c r="F33" i="1"/>
  <c r="G33" i="1"/>
  <c r="I33" i="1" s="1"/>
  <c r="E32" i="2"/>
  <c r="E40" i="2"/>
  <c r="E25" i="2"/>
  <c r="E39" i="2"/>
  <c r="E36" i="2" l="1"/>
  <c r="E37" i="2"/>
  <c r="F48" i="1"/>
  <c r="G48" i="1" s="1"/>
  <c r="K48" i="1" s="1"/>
  <c r="E15" i="2"/>
  <c r="E13" i="2"/>
  <c r="E27" i="2"/>
  <c r="E20" i="2"/>
  <c r="E12" i="2"/>
  <c r="F31" i="1"/>
  <c r="G31" i="1" s="1"/>
  <c r="I31" i="1" s="1"/>
  <c r="E35" i="2"/>
  <c r="F24" i="1"/>
  <c r="G24" i="1" s="1"/>
  <c r="H24" i="1" s="1"/>
  <c r="F50" i="1"/>
  <c r="G50" i="1" s="1"/>
  <c r="F38" i="1"/>
  <c r="U38" i="1" s="1"/>
  <c r="F35" i="1"/>
  <c r="G35" i="1" s="1"/>
  <c r="I35" i="1" s="1"/>
  <c r="E42" i="2"/>
  <c r="E17" i="2"/>
  <c r="C12" i="1"/>
  <c r="C11" i="1"/>
  <c r="O57" i="1" l="1"/>
  <c r="O47" i="1"/>
  <c r="O42" i="1"/>
  <c r="O53" i="1"/>
  <c r="O36" i="1"/>
  <c r="O31" i="1"/>
  <c r="O55" i="1"/>
  <c r="O46" i="1"/>
  <c r="O49" i="1"/>
  <c r="O28" i="1"/>
  <c r="O25" i="1"/>
  <c r="O45" i="1"/>
  <c r="O54" i="1"/>
  <c r="O48" i="1"/>
  <c r="O33" i="1"/>
  <c r="O56" i="1"/>
  <c r="O23" i="1"/>
  <c r="O22" i="1"/>
  <c r="O21" i="1"/>
  <c r="C15" i="1"/>
  <c r="C18" i="1" s="1"/>
  <c r="O26" i="1"/>
  <c r="O44" i="1"/>
  <c r="O32" i="1"/>
  <c r="O34" i="1"/>
  <c r="O43" i="1"/>
  <c r="O29" i="1"/>
  <c r="O27" i="1"/>
  <c r="O39" i="1"/>
  <c r="O50" i="1"/>
  <c r="O52" i="1"/>
  <c r="O24" i="1"/>
  <c r="O41" i="1"/>
  <c r="O37" i="1"/>
  <c r="O38" i="1"/>
  <c r="O40" i="1"/>
  <c r="O35" i="1"/>
  <c r="O51" i="1"/>
  <c r="O30" i="1"/>
  <c r="C16" i="1"/>
  <c r="D18" i="1" s="1"/>
  <c r="I50" i="1"/>
  <c r="F18" i="1" l="1"/>
  <c r="F19" i="1" s="1"/>
</calcChain>
</file>

<file path=xl/sharedStrings.xml><?xml version="1.0" encoding="utf-8"?>
<sst xmlns="http://schemas.openxmlformats.org/spreadsheetml/2006/main" count="396" uniqueCount="210">
  <si>
    <t>OEJV 0191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</si>
  <si>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</si>
  <si>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</si>
  <si>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</si>
  <si>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</si>
  <si>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</si>
  <si>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</si>
  <si>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</si>
  <si>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</si>
  <si>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</si>
  <si>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</si>
  <si>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</si>
  <si>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</si>
  <si>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</si>
  <si>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</si>
  <si>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</si>
  <si>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</si>
  <si>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</si>
  <si>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</si>
  <si>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</si>
  <si>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</si>
  <si>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</si>
  <si>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</si>
  <si>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</si>
  <si>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</si>
  <si>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</si>
  <si>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</si>
  <si>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</si>
  <si>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</si>
  <si>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</si>
  <si>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</si>
  <si>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</si>
  <si>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MVS 7,149</t>
  </si>
  <si>
    <t>K</t>
  </si>
  <si>
    <t>AN 302,54</t>
  </si>
  <si>
    <t>BAAVSS 60,15</t>
  </si>
  <si>
    <t>BAV-M 68</t>
  </si>
  <si>
    <t>II</t>
  </si>
  <si>
    <t>IBVS 5583</t>
  </si>
  <si>
    <t>AI Cep / GSC 03975-01089</t>
  </si>
  <si>
    <t># of data points:</t>
  </si>
  <si>
    <t>IBVS 5645</t>
  </si>
  <si>
    <t>bad</t>
  </si>
  <si>
    <t>EB/DM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</si>
  <si>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</si>
  <si>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</si>
  <si>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</si>
  <si>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</si>
  <si>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</si>
  <si>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</si>
  <si>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0097</t>
  </si>
  <si>
    <t>I</t>
  </si>
  <si>
    <t>pg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</si>
  <si>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</si>
  <si>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</si>
  <si>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</si>
  <si>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</si>
  <si>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</si>
  <si>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</si>
  <si>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</si>
  <si>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</si>
  <si>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</si>
  <si>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</si>
  <si>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</si>
  <si>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</si>
  <si>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</si>
  <si>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</si>
  <si>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</si>
  <si>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2414898.34 </t>
  </si>
  <si>
    <t> 31.08.1899 20:09 </t>
  </si>
  <si>
    <t> 1.34 </t>
  </si>
  <si>
    <t>P </t>
  </si>
  <si>
    <t> W.Zessewitsch </t>
  </si>
  <si>
    <t> IODE 4.1.195 </t>
  </si>
  <si>
    <t>2415254.45 </t>
  </si>
  <si>
    <t> 22.08.1900 22:48 </t>
  </si>
  <si>
    <t> 0.42 </t>
  </si>
  <si>
    <t>2415615.34 </t>
  </si>
  <si>
    <t> 18.08.1901 20:09 </t>
  </si>
  <si>
    <t> 0.04 </t>
  </si>
  <si>
    <t>2415615.43 </t>
  </si>
  <si>
    <t> 18.08.1901 22:19 </t>
  </si>
  <si>
    <t> 0.13 </t>
  </si>
  <si>
    <t>2417562.24 </t>
  </si>
  <si>
    <t> 17.12.1906 17:45 </t>
  </si>
  <si>
    <t> -0.91 </t>
  </si>
  <si>
    <t>2426550.294 </t>
  </si>
  <si>
    <t> 27.07.1931 19:03 </t>
  </si>
  <si>
    <t> -0.047 </t>
  </si>
  <si>
    <t>V </t>
  </si>
  <si>
    <t>2426552.508 </t>
  </si>
  <si>
    <t> 30.07.1931 00:11 </t>
  </si>
  <si>
    <t> 0.054 </t>
  </si>
  <si>
    <t>2430874.500 </t>
  </si>
  <si>
    <t> 30.05.1943 00:00 </t>
  </si>
  <si>
    <t> -0.423 </t>
  </si>
  <si>
    <t> Sommer </t>
  </si>
  <si>
    <t> PTAO 34.202 </t>
  </si>
  <si>
    <t>2433661.508 </t>
  </si>
  <si>
    <t> 15.01.1951 00:11 </t>
  </si>
  <si>
    <t> 0.007 </t>
  </si>
  <si>
    <t> H.Albo </t>
  </si>
  <si>
    <t>2433967.822 </t>
  </si>
  <si>
    <t> 17.11.1951 07:43 </t>
  </si>
  <si>
    <t> -0.012 </t>
  </si>
  <si>
    <t>2433995.315 </t>
  </si>
  <si>
    <t> 14.12.1951 19:33 </t>
  </si>
  <si>
    <t> 0.017 </t>
  </si>
  <si>
    <t>2434430.489 </t>
  </si>
  <si>
    <t> 21.02.1953 23:44 </t>
  </si>
  <si>
    <t> -0.014 </t>
  </si>
  <si>
    <t>2434432.618 </t>
  </si>
  <si>
    <t> 24.02.1953 02:49 </t>
  </si>
  <si>
    <t> 0.002 </t>
  </si>
  <si>
    <t>2434760.058 </t>
  </si>
  <si>
    <t> 17.01.1954 13:23 </t>
  </si>
  <si>
    <t> -0.018 </t>
  </si>
  <si>
    <t>2435053.747 </t>
  </si>
  <si>
    <t> 07.11.1954 05:55 </t>
  </si>
  <si>
    <t> 0.014 </t>
  </si>
  <si>
    <t>2435440.346 </t>
  </si>
  <si>
    <t> 28.11.1955 20:18 </t>
  </si>
  <si>
    <t> -0.001 </t>
  </si>
  <si>
    <t>2442718.307 </t>
  </si>
  <si>
    <t> 01.11.1975 19:22 </t>
  </si>
  <si>
    <t> -0.099 </t>
  </si>
  <si>
    <t> T.Berthold </t>
  </si>
  <si>
    <t> MVS 7.149 </t>
  </si>
  <si>
    <t>2443755.771 </t>
  </si>
  <si>
    <t> 04.09.1978 06:30 </t>
  </si>
  <si>
    <t> 0.057 </t>
  </si>
  <si>
    <t> D.Lichtenknecker </t>
  </si>
  <si>
    <t>BAVM 31 </t>
  </si>
  <si>
    <t>2445216.596 </t>
  </si>
  <si>
    <t> 04.09.1982 02:18 </t>
  </si>
  <si>
    <t> -1.067 </t>
  </si>
  <si>
    <t> T.Brelstaff </t>
  </si>
  <si>
    <t> VSSC 60.20 </t>
  </si>
  <si>
    <t>2445218.745 </t>
  </si>
  <si>
    <t> 06.09.1982 05:52 </t>
  </si>
  <si>
    <t> 1.082 </t>
  </si>
  <si>
    <t>2445623.370 </t>
  </si>
  <si>
    <t> 15.10.1983 20:52 </t>
  </si>
  <si>
    <t> 0.079 </t>
  </si>
  <si>
    <t> P.Frank </t>
  </si>
  <si>
    <t>BAVM 202 </t>
  </si>
  <si>
    <t>2448513.50 </t>
  </si>
  <si>
    <t> 14.09.1991 00:00 </t>
  </si>
  <si>
    <t> 0.11 </t>
  </si>
  <si>
    <t> A.Thomas </t>
  </si>
  <si>
    <t>BAVM 68 </t>
  </si>
  <si>
    <t>2451779.406 </t>
  </si>
  <si>
    <t> 22.08.2000 21:44 </t>
  </si>
  <si>
    <t> -0.130 </t>
  </si>
  <si>
    <t> R.Meyer </t>
  </si>
  <si>
    <t>BAVM 143 </t>
  </si>
  <si>
    <t>2452193.510 </t>
  </si>
  <si>
    <t> 11.10.2001 00:14 </t>
  </si>
  <si>
    <t> -0.104 </t>
  </si>
  <si>
    <t>BAVM 154 </t>
  </si>
  <si>
    <t>2452548.405 </t>
  </si>
  <si>
    <t> 30.09.2002 21:43 </t>
  </si>
  <si>
    <t> -0.133 </t>
  </si>
  <si>
    <t>BAVM 157 </t>
  </si>
  <si>
    <t>2452863.4544 </t>
  </si>
  <si>
    <t> 11.08.2003 22:54 </t>
  </si>
  <si>
    <t> 0.1324 </t>
  </si>
  <si>
    <t>E </t>
  </si>
  <si>
    <t>?</t>
  </si>
  <si>
    <t> O.Pejcha </t>
  </si>
  <si>
    <t>IBVS 5645 </t>
  </si>
  <si>
    <t>2453070.4803 </t>
  </si>
  <si>
    <t> 05.03.2004 23:31 </t>
  </si>
  <si>
    <t> 0.1192 </t>
  </si>
  <si>
    <t> M.Zejda </t>
  </si>
  <si>
    <t>IBVS 5583 </t>
  </si>
  <si>
    <t>2454382.4797 </t>
  </si>
  <si>
    <t> 08.10.2007 23:30 </t>
  </si>
  <si>
    <t> 0.1666 </t>
  </si>
  <si>
    <t>C </t>
  </si>
  <si>
    <t>-I</t>
  </si>
  <si>
    <t>BAVM 193 </t>
  </si>
  <si>
    <t>2454830.346 </t>
  </si>
  <si>
    <t> 29.12.2008 20:18 </t>
  </si>
  <si>
    <t>6693</t>
  </si>
  <si>
    <t> 0.152 </t>
  </si>
  <si>
    <t>o</t>
  </si>
  <si>
    <t> A.Paschke </t>
  </si>
  <si>
    <t>OEJV 0116 </t>
  </si>
  <si>
    <t>2455058.5260 </t>
  </si>
  <si>
    <t> 15.08.2009 00:37 </t>
  </si>
  <si>
    <t>6747</t>
  </si>
  <si>
    <t> 0.1669 </t>
  </si>
  <si>
    <t> F.Agerer </t>
  </si>
  <si>
    <t>BAVM 212 </t>
  </si>
  <si>
    <t>2456539.5157 </t>
  </si>
  <si>
    <t> 04.09.2013 00:22 </t>
  </si>
  <si>
    <t>7097.5</t>
  </si>
  <si>
    <t> 0.1931 </t>
  </si>
  <si>
    <t> K.Alich </t>
  </si>
  <si>
    <t>BAVM 234 </t>
  </si>
  <si>
    <t>2456877.5281 </t>
  </si>
  <si>
    <t> 08.08.2014 00:40 </t>
  </si>
  <si>
    <t>7177.5</t>
  </si>
  <si>
    <t> 0.1825 </t>
  </si>
  <si>
    <t>BAVM 238 </t>
  </si>
  <si>
    <t>BAD?</t>
  </si>
  <si>
    <t>OEJV 0116</t>
  </si>
  <si>
    <t>JAAVSO 51, 138</t>
  </si>
  <si>
    <t>31/08/1899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</si>
</sst>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3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5" fillId="0" borderId="0" xfId="42" applyNumberFormat="1" applyFont="1" applyAlignment="1">
      <alignment horizontal="left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Cep - O-C Diagr.</a:t>
            </a:r>
          </a:p>
        </c:rich>
      </c:tx>
      <c:layout>
        <c:manualLayout>
          <c:xMode val="edge"/>
          <c:yMode val="edge"/>
          <c:x val="0.3672731090431877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4769252958613219"/>
          <c:w val="0.8036370770925755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-0.76934000000073866</c:v>
                </c:pt>
                <c:pt idx="1">
                  <c:v>0.41646799999944051</c:v>
                </c:pt>
                <c:pt idx="2">
                  <c:v>4.4343999999910011E-2</c:v>
                </c:pt>
                <c:pt idx="3">
                  <c:v>0.13434400000005553</c:v>
                </c:pt>
                <c:pt idx="4">
                  <c:v>-0.91342399999848567</c:v>
                </c:pt>
                <c:pt idx="5">
                  <c:v>-4.6999999998661224E-2</c:v>
                </c:pt>
                <c:pt idx="6">
                  <c:v>0</c:v>
                </c:pt>
                <c:pt idx="7">
                  <c:v>5.435600000055274E-2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3-47F0-B022-C672DB9F74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-0.42326799999864306</c:v>
                </c:pt>
                <c:pt idx="9">
                  <c:v>7.2960000034072436E-3</c:v>
                </c:pt>
                <c:pt idx="10">
                  <c:v>-1.2084000001777895E-2</c:v>
                </c:pt>
                <c:pt idx="11">
                  <c:v>1.6543999998248182E-2</c:v>
                </c:pt>
                <c:pt idx="12">
                  <c:v>-1.411999999982072E-2</c:v>
                </c:pt>
                <c:pt idx="13">
                  <c:v>2.2360000002663583E-3</c:v>
                </c:pt>
                <c:pt idx="14">
                  <c:v>-1.7584000001079403E-2</c:v>
                </c:pt>
                <c:pt idx="15">
                  <c:v>1.3900000005378388E-2</c:v>
                </c:pt>
                <c:pt idx="16">
                  <c:v>-9.5200000214390457E-4</c:v>
                </c:pt>
                <c:pt idx="18">
                  <c:v>5.7263999995484482E-2</c:v>
                </c:pt>
                <c:pt idx="21">
                  <c:v>7.8968000001623295E-2</c:v>
                </c:pt>
                <c:pt idx="22">
                  <c:v>0.11197600000014063</c:v>
                </c:pt>
                <c:pt idx="29">
                  <c:v>0.15241599999717437</c:v>
                </c:pt>
                <c:pt idx="30">
                  <c:v>0.16686399999889545</c:v>
                </c:pt>
                <c:pt idx="33">
                  <c:v>0.18744399999559391</c:v>
                </c:pt>
                <c:pt idx="34">
                  <c:v>0.18020800000522286</c:v>
                </c:pt>
                <c:pt idx="35">
                  <c:v>0.19938399999955436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3-47F0-B022-C672DB9F74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0.19312000000354601</c:v>
                </c:pt>
                <c:pt idx="32">
                  <c:v>0.18248000000312459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73-47F0-B022-C672DB9F74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0.13238000000274042</c:v>
                </c:pt>
                <c:pt idx="27">
                  <c:v>0.11916800000471994</c:v>
                </c:pt>
                <c:pt idx="28">
                  <c:v>0.16664400000445312</c:v>
                </c:pt>
                <c:pt idx="36">
                  <c:v>0.20138399999996182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73-47F0-B022-C672DB9F74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73-47F0-B022-C672DB9F74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73-47F0-B022-C672DB9F74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73-47F0-B022-C672DB9F74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-0.32038491189565427</c:v>
                </c:pt>
                <c:pt idx="1">
                  <c:v>-0.31613862452196495</c:v>
                </c:pt>
                <c:pt idx="2">
                  <c:v>-0.31181651058803111</c:v>
                </c:pt>
                <c:pt idx="3">
                  <c:v>-0.31181651058803111</c:v>
                </c:pt>
                <c:pt idx="4">
                  <c:v>-0.28851248107290273</c:v>
                </c:pt>
                <c:pt idx="5">
                  <c:v>-0.18099041864626902</c:v>
                </c:pt>
                <c:pt idx="6">
                  <c:v>-0.18099041864626902</c:v>
                </c:pt>
                <c:pt idx="7">
                  <c:v>-0.18096514312618753</c:v>
                </c:pt>
                <c:pt idx="8">
                  <c:v>-0.1292514290394709</c:v>
                </c:pt>
                <c:pt idx="9">
                  <c:v>-9.5913018051993287E-2</c:v>
                </c:pt>
                <c:pt idx="10">
                  <c:v>-9.224806764017808E-2</c:v>
                </c:pt>
                <c:pt idx="11">
                  <c:v>-9.1919485879118787E-2</c:v>
                </c:pt>
                <c:pt idx="12">
                  <c:v>-8.6712728742333045E-2</c:v>
                </c:pt>
                <c:pt idx="13">
                  <c:v>-8.6687453222251562E-2</c:v>
                </c:pt>
                <c:pt idx="14">
                  <c:v>-8.2769747609621511E-2</c:v>
                </c:pt>
                <c:pt idx="15">
                  <c:v>-7.9256450318295216E-2</c:v>
                </c:pt>
                <c:pt idx="16">
                  <c:v>-7.4631030143383612E-2</c:v>
                </c:pt>
                <c:pt idx="17">
                  <c:v>1.2443136537329369E-2</c:v>
                </c:pt>
                <c:pt idx="18">
                  <c:v>2.485341689733811E-2</c:v>
                </c:pt>
                <c:pt idx="19">
                  <c:v>4.231880127364368E-2</c:v>
                </c:pt>
                <c:pt idx="20">
                  <c:v>4.2369352313806646E-2</c:v>
                </c:pt>
                <c:pt idx="21">
                  <c:v>4.7196976649370115E-2</c:v>
                </c:pt>
                <c:pt idx="22">
                  <c:v>8.1773888120840466E-2</c:v>
                </c:pt>
                <c:pt idx="23">
                  <c:v>0.12084984216681499</c:v>
                </c:pt>
                <c:pt idx="24">
                  <c:v>0.12580384410278589</c:v>
                </c:pt>
                <c:pt idx="25">
                  <c:v>0.13005013147647526</c:v>
                </c:pt>
                <c:pt idx="26">
                  <c:v>0.13381618396861639</c:v>
                </c:pt>
                <c:pt idx="27">
                  <c:v>0.13629318493660186</c:v>
                </c:pt>
                <c:pt idx="28">
                  <c:v>0.15198928290720354</c:v>
                </c:pt>
                <c:pt idx="29">
                  <c:v>0.15734769316447816</c:v>
                </c:pt>
                <c:pt idx="30">
                  <c:v>0.16007744933327844</c:v>
                </c:pt>
                <c:pt idx="31">
                  <c:v>0.17779558891039887</c:v>
                </c:pt>
                <c:pt idx="32">
                  <c:v>0.18183967212343632</c:v>
                </c:pt>
                <c:pt idx="33">
                  <c:v>0.18674312301924428</c:v>
                </c:pt>
                <c:pt idx="34">
                  <c:v>0.18722335790079248</c:v>
                </c:pt>
                <c:pt idx="35">
                  <c:v>0.19596868784898597</c:v>
                </c:pt>
                <c:pt idx="36">
                  <c:v>0.21239777590195069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73-47F0-B022-C672DB9F746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">
                  <c:v>-9.8532000003615394E-2</c:v>
                </c:pt>
                <c:pt idx="19">
                  <c:v>1.0452599999989616</c:v>
                </c:pt>
                <c:pt idx="20">
                  <c:v>-1.0310279999976046</c:v>
                </c:pt>
                <c:pt idx="23">
                  <c:v>-0.12964800000190735</c:v>
                </c:pt>
                <c:pt idx="24">
                  <c:v>-0.10387199999968288</c:v>
                </c:pt>
                <c:pt idx="25">
                  <c:v>-0.13306400000146823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73-47F0-B022-C672DB9F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984752"/>
        <c:axId val="1"/>
      </c:scatterChart>
      <c:valAx>
        <c:axId val="70398475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8563588642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98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81818181818182"/>
          <c:y val="0.92000129214617399"/>
          <c:w val="0.8909098544500119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Cep - O-C Diagr.</a:t>
            </a:r>
          </a:p>
        </c:rich>
      </c:tx>
      <c:layout>
        <c:manualLayout>
          <c:xMode val="edge"/>
          <c:yMode val="edge"/>
          <c:x val="0.368421052631578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9056261343014"/>
          <c:y val="0.14723926380368099"/>
          <c:w val="0.800362976406533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-0.76934000000073866</c:v>
                </c:pt>
                <c:pt idx="1">
                  <c:v>0.41646799999944051</c:v>
                </c:pt>
                <c:pt idx="2">
                  <c:v>4.4343999999910011E-2</c:v>
                </c:pt>
                <c:pt idx="3">
                  <c:v>0.13434400000005553</c:v>
                </c:pt>
                <c:pt idx="4">
                  <c:v>-0.91342399999848567</c:v>
                </c:pt>
                <c:pt idx="5">
                  <c:v>-4.6999999998661224E-2</c:v>
                </c:pt>
                <c:pt idx="6">
                  <c:v>0</c:v>
                </c:pt>
                <c:pt idx="7">
                  <c:v>5.435600000055274E-2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3-49CC-9CAA-108FA4EAD3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-0.42326799999864306</c:v>
                </c:pt>
                <c:pt idx="9">
                  <c:v>7.2960000034072436E-3</c:v>
                </c:pt>
                <c:pt idx="10">
                  <c:v>-1.2084000001777895E-2</c:v>
                </c:pt>
                <c:pt idx="11">
                  <c:v>1.6543999998248182E-2</c:v>
                </c:pt>
                <c:pt idx="12">
                  <c:v>-1.411999999982072E-2</c:v>
                </c:pt>
                <c:pt idx="13">
                  <c:v>2.2360000002663583E-3</c:v>
                </c:pt>
                <c:pt idx="14">
                  <c:v>-1.7584000001079403E-2</c:v>
                </c:pt>
                <c:pt idx="15">
                  <c:v>1.3900000005378388E-2</c:v>
                </c:pt>
                <c:pt idx="16">
                  <c:v>-9.5200000214390457E-4</c:v>
                </c:pt>
                <c:pt idx="18">
                  <c:v>5.7263999995484482E-2</c:v>
                </c:pt>
                <c:pt idx="21">
                  <c:v>7.8968000001623295E-2</c:v>
                </c:pt>
                <c:pt idx="22">
                  <c:v>0.11197600000014063</c:v>
                </c:pt>
                <c:pt idx="29">
                  <c:v>0.15241599999717437</c:v>
                </c:pt>
                <c:pt idx="30">
                  <c:v>0.16686399999889545</c:v>
                </c:pt>
                <c:pt idx="33">
                  <c:v>0.18744399999559391</c:v>
                </c:pt>
                <c:pt idx="34">
                  <c:v>0.18020800000522286</c:v>
                </c:pt>
                <c:pt idx="35">
                  <c:v>0.19938399999955436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3-49CC-9CAA-108FA4EAD3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0.19312000000354601</c:v>
                </c:pt>
                <c:pt idx="32">
                  <c:v>0.18248000000312459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A3-49CC-9CAA-108FA4EAD3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0.13238000000274042</c:v>
                </c:pt>
                <c:pt idx="27">
                  <c:v>0.11916800000471994</c:v>
                </c:pt>
                <c:pt idx="28">
                  <c:v>0.16664400000445312</c:v>
                </c:pt>
                <c:pt idx="36">
                  <c:v>0.20138399999996182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A3-49CC-9CAA-108FA4EAD3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A3-49CC-9CAA-108FA4EAD3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A3-49CC-9CAA-108FA4EAD3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1.6899999999999998E-2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A3-49CC-9CAA-108FA4EAD3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-0.32038491189565427</c:v>
                </c:pt>
                <c:pt idx="1">
                  <c:v>-0.31613862452196495</c:v>
                </c:pt>
                <c:pt idx="2">
                  <c:v>-0.31181651058803111</c:v>
                </c:pt>
                <c:pt idx="3">
                  <c:v>-0.31181651058803111</c:v>
                </c:pt>
                <c:pt idx="4">
                  <c:v>-0.28851248107290273</c:v>
                </c:pt>
                <c:pt idx="5">
                  <c:v>-0.18099041864626902</c:v>
                </c:pt>
                <c:pt idx="6">
                  <c:v>-0.18099041864626902</c:v>
                </c:pt>
                <c:pt idx="7">
                  <c:v>-0.18096514312618753</c:v>
                </c:pt>
                <c:pt idx="8">
                  <c:v>-0.1292514290394709</c:v>
                </c:pt>
                <c:pt idx="9">
                  <c:v>-9.5913018051993287E-2</c:v>
                </c:pt>
                <c:pt idx="10">
                  <c:v>-9.224806764017808E-2</c:v>
                </c:pt>
                <c:pt idx="11">
                  <c:v>-9.1919485879118787E-2</c:v>
                </c:pt>
                <c:pt idx="12">
                  <c:v>-8.6712728742333045E-2</c:v>
                </c:pt>
                <c:pt idx="13">
                  <c:v>-8.6687453222251562E-2</c:v>
                </c:pt>
                <c:pt idx="14">
                  <c:v>-8.2769747609621511E-2</c:v>
                </c:pt>
                <c:pt idx="15">
                  <c:v>-7.9256450318295216E-2</c:v>
                </c:pt>
                <c:pt idx="16">
                  <c:v>-7.4631030143383612E-2</c:v>
                </c:pt>
                <c:pt idx="17">
                  <c:v>1.2443136537329369E-2</c:v>
                </c:pt>
                <c:pt idx="18">
                  <c:v>2.485341689733811E-2</c:v>
                </c:pt>
                <c:pt idx="19">
                  <c:v>4.231880127364368E-2</c:v>
                </c:pt>
                <c:pt idx="20">
                  <c:v>4.2369352313806646E-2</c:v>
                </c:pt>
                <c:pt idx="21">
                  <c:v>4.7196976649370115E-2</c:v>
                </c:pt>
                <c:pt idx="22">
                  <c:v>8.1773888120840466E-2</c:v>
                </c:pt>
                <c:pt idx="23">
                  <c:v>0.12084984216681499</c:v>
                </c:pt>
                <c:pt idx="24">
                  <c:v>0.12580384410278589</c:v>
                </c:pt>
                <c:pt idx="25">
                  <c:v>0.13005013147647526</c:v>
                </c:pt>
                <c:pt idx="26">
                  <c:v>0.13381618396861639</c:v>
                </c:pt>
                <c:pt idx="27">
                  <c:v>0.13629318493660186</c:v>
                </c:pt>
                <c:pt idx="28">
                  <c:v>0.15198928290720354</c:v>
                </c:pt>
                <c:pt idx="29">
                  <c:v>0.15734769316447816</c:v>
                </c:pt>
                <c:pt idx="30">
                  <c:v>0.16007744933327844</c:v>
                </c:pt>
                <c:pt idx="31">
                  <c:v>0.17779558891039887</c:v>
                </c:pt>
                <c:pt idx="32">
                  <c:v>0.18183967212343632</c:v>
                </c:pt>
                <c:pt idx="33">
                  <c:v>0.18674312301924428</c:v>
                </c:pt>
                <c:pt idx="34">
                  <c:v>0.18722335790079248</c:v>
                </c:pt>
                <c:pt idx="35">
                  <c:v>0.19596868784898597</c:v>
                </c:pt>
                <c:pt idx="36">
                  <c:v>0.21239777590195069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A3-49CC-9CAA-108FA4EAD30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">
                  <c:v>-9.8532000003615394E-2</c:v>
                </c:pt>
                <c:pt idx="19">
                  <c:v>1.0452599999989616</c:v>
                </c:pt>
                <c:pt idx="20">
                  <c:v>-1.0310279999976046</c:v>
                </c:pt>
                <c:pt idx="23">
                  <c:v>-0.12964800000190735</c:v>
                </c:pt>
                <c:pt idx="24">
                  <c:v>-0.10387199999968288</c:v>
                </c:pt>
                <c:pt idx="25">
                  <c:v>-0.13306400000146823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A3-49CC-9CAA-108FA4EA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694624"/>
        <c:axId val="1"/>
      </c:scatterChart>
      <c:valAx>
        <c:axId val="56569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56261343012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9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63339382940109"/>
          <c:y val="0.92024539877300615"/>
          <c:w val="0.889292196007259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123825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0B0F52-4BCF-499B-B598-F8A7122A1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323851</xdr:colOff>
      <xdr:row>0</xdr:row>
      <xdr:rowOff>0</xdr:rowOff>
    </xdr:from>
    <xdr:to>
      <xdr:col>27</xdr:col>
      <xdr:colOff>76201</xdr:colOff>
      <xdr:row>18</xdr:row>
      <xdr:rowOff>57149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CAFE824-F0E7-13A0-B8F8-13FC52EF3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645" TargetMode="External"/><Relationship Id="rId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02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54" TargetMode="External"/><Relationship Id="rId10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www.bav-astro.de/sfs/BAVM_link.php?BAVMnr=143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51"/>
  <sheetViews>
    <sheetView tabSelected="1"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A43" sqref="A43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27</v>
      </c>
      <c r="B2" s="12" t="s">
        <v>43</v>
      </c>
    </row>
    <row r="4" spans="1:6" ht="14.25" thickTop="1" thickBot="1" x14ac:dyDescent="0.25">
      <c r="A4" s="5" t="s">
        <v>3</v>
      </c>
      <c r="C4" s="2">
        <v>26550.341</v>
      </c>
      <c r="D4" s="3">
        <v>4.2252879999999999</v>
      </c>
    </row>
    <row r="5" spans="1:6" ht="13.5" thickTop="1" x14ac:dyDescent="0.2">
      <c r="A5" s="16" t="s">
        <v>44</v>
      </c>
      <c r="B5" s="12"/>
      <c r="C5" s="17">
        <v>-9.5</v>
      </c>
      <c r="D5" s="12" t="s">
        <v>45</v>
      </c>
    </row>
    <row r="6" spans="1:6" x14ac:dyDescent="0.2">
      <c r="A6" s="5" t="s">
        <v>4</v>
      </c>
    </row>
    <row r="7" spans="1:6" x14ac:dyDescent="0.2">
      <c r="A7" t="s">
        <v>5</v>
      </c>
      <c r="C7">
        <v>26550.341</v>
      </c>
    </row>
    <row r="8" spans="1:6" x14ac:dyDescent="0.2">
      <c r="A8" t="s">
        <v>6</v>
      </c>
      <c r="C8">
        <v>4.2252879999999999</v>
      </c>
    </row>
    <row r="9" spans="1:6" x14ac:dyDescent="0.2">
      <c r="A9" s="31" t="s">
        <v>49</v>
      </c>
      <c r="B9" s="32">
        <v>45</v>
      </c>
      <c r="C9" s="20" t="str">
        <f>"F"&amp;B9</f>
        <v>F45</v>
      </c>
      <c r="D9" s="21" t="str">
        <f>"G"&amp;B9</f>
        <v>G45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18">
        <f ca="1">INTERCEPT(INDIRECT($D$9):G992,INDIRECT($C$9):F992)</f>
        <v>-0.18099041864626902</v>
      </c>
      <c r="D11" s="19"/>
      <c r="E11" s="12"/>
    </row>
    <row r="12" spans="1:6" x14ac:dyDescent="0.2">
      <c r="A12" s="12" t="s">
        <v>20</v>
      </c>
      <c r="B12" s="12"/>
      <c r="C12" s="18">
        <f ca="1">SLOPE(INDIRECT($D$9):G992,INDIRECT($C$9):F992)</f>
        <v>5.0551040162968353E-5</v>
      </c>
      <c r="D12" s="19"/>
      <c r="E12" s="12"/>
    </row>
    <row r="13" spans="1:6" x14ac:dyDescent="0.2">
      <c r="A13" s="12" t="s">
        <v>22</v>
      </c>
      <c r="B13" s="12"/>
      <c r="C13" s="19" t="s">
        <v>17</v>
      </c>
    </row>
    <row r="14" spans="1:6" x14ac:dyDescent="0.2">
      <c r="A14" s="12"/>
      <c r="B14" s="12"/>
      <c r="C14" s="12"/>
    </row>
    <row r="15" spans="1:6" x14ac:dyDescent="0.2">
      <c r="A15" s="22" t="s">
        <v>21</v>
      </c>
      <c r="B15" s="12"/>
      <c r="C15" s="23">
        <f ca="1">(C7+C11)+(C8+C12)*INT(MAX(F21:F3533))</f>
        <v>59431.744613775903</v>
      </c>
      <c r="E15" s="24" t="s">
        <v>53</v>
      </c>
      <c r="F15" s="17">
        <v>1</v>
      </c>
    </row>
    <row r="16" spans="1:6" x14ac:dyDescent="0.2">
      <c r="A16" s="26" t="s">
        <v>7</v>
      </c>
      <c r="B16" s="12"/>
      <c r="C16" s="27">
        <f ca="1">+C8+C12</f>
        <v>4.2253385510401626</v>
      </c>
      <c r="E16" s="24" t="s">
        <v>46</v>
      </c>
      <c r="F16" s="25">
        <f ca="1">NOW()+15018.5+$C$5/24</f>
        <v>60332.64452037037</v>
      </c>
    </row>
    <row r="17" spans="1:21" ht="13.5" thickBot="1" x14ac:dyDescent="0.25">
      <c r="A17" s="24" t="s">
        <v>40</v>
      </c>
      <c r="B17" s="12"/>
      <c r="C17" s="12">
        <f>COUNT(C21:C2191)</f>
        <v>37</v>
      </c>
      <c r="E17" s="24" t="s">
        <v>54</v>
      </c>
      <c r="F17" s="25">
        <f ca="1">ROUND(2*(F16-$C$7)/$C$8,0)/2+F15</f>
        <v>7996.5</v>
      </c>
    </row>
    <row r="18" spans="1:21" ht="14.25" thickTop="1" thickBot="1" x14ac:dyDescent="0.25">
      <c r="A18" s="26" t="s">
        <v>8</v>
      </c>
      <c r="B18" s="12"/>
      <c r="C18" s="29">
        <f ca="1">+C15</f>
        <v>59431.744613775903</v>
      </c>
      <c r="D18" s="30">
        <f ca="1">+C16</f>
        <v>4.2253385510401626</v>
      </c>
      <c r="E18" s="24" t="s">
        <v>47</v>
      </c>
      <c r="F18" s="21">
        <f ca="1">ROUND(2*(F16-$C$15)/$C$16,0)/2+F15</f>
        <v>214</v>
      </c>
    </row>
    <row r="19" spans="1:21" ht="13.5" thickTop="1" x14ac:dyDescent="0.2">
      <c r="E19" s="24" t="s">
        <v>48</v>
      </c>
      <c r="F19" s="28">
        <f ca="1">+$C$15+$C$16*F18-15018.5-$C$5/24</f>
        <v>45317.862897031831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66</v>
      </c>
      <c r="J20" s="7" t="s">
        <v>61</v>
      </c>
      <c r="K20" s="7" t="s">
        <v>59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50" t="s">
        <v>206</v>
      </c>
    </row>
    <row r="21" spans="1:21" x14ac:dyDescent="0.2">
      <c r="A21" s="48" t="s">
        <v>73</v>
      </c>
      <c r="B21" s="49" t="s">
        <v>51</v>
      </c>
      <c r="C21" s="48">
        <v>14898.34</v>
      </c>
      <c r="D21" s="48" t="s">
        <v>66</v>
      </c>
      <c r="E21" s="13">
        <f t="shared" ref="E21:E41" si="0">+(C21-C$7)/C$8</f>
        <v>-2757.6820798960925</v>
      </c>
      <c r="F21" s="13">
        <f t="shared" ref="F21:F41" si="1">ROUND(2*E21,0)/2</f>
        <v>-2757.5</v>
      </c>
      <c r="G21" s="13">
        <f t="shared" ref="G21:G37" si="2">+C21-(C$7+F21*C$8)</f>
        <v>-0.76934000000073866</v>
      </c>
      <c r="H21" s="13">
        <f t="shared" ref="H21:H26" si="3">G21</f>
        <v>-0.76934000000073866</v>
      </c>
      <c r="I21" s="13"/>
      <c r="K21" s="13"/>
      <c r="L21" s="13"/>
      <c r="M21" s="13"/>
      <c r="N21" s="13"/>
      <c r="O21" s="13">
        <f t="shared" ref="O21:O41" ca="1" si="4">+C$11+C$12*F21</f>
        <v>-0.32038491189565427</v>
      </c>
      <c r="P21" s="13"/>
      <c r="Q21" s="55" t="s">
        <v>209</v>
      </c>
    </row>
    <row r="22" spans="1:21" x14ac:dyDescent="0.2">
      <c r="A22" s="48" t="s">
        <v>73</v>
      </c>
      <c r="B22" s="49" t="s">
        <v>37</v>
      </c>
      <c r="C22" s="48">
        <v>15254.45</v>
      </c>
      <c r="D22" s="48" t="s">
        <v>66</v>
      </c>
      <c r="E22" s="13">
        <f t="shared" si="0"/>
        <v>-2673.4014344110983</v>
      </c>
      <c r="F22" s="13">
        <f t="shared" si="1"/>
        <v>-2673.5</v>
      </c>
      <c r="G22" s="13">
        <f t="shared" si="2"/>
        <v>0.41646799999944051</v>
      </c>
      <c r="H22" s="13">
        <f t="shared" si="3"/>
        <v>0.41646799999944051</v>
      </c>
      <c r="I22" s="13"/>
      <c r="K22" s="13"/>
      <c r="L22" s="13"/>
      <c r="M22" s="13"/>
      <c r="N22" s="13"/>
      <c r="O22" s="13">
        <f t="shared" ca="1" si="4"/>
        <v>-0.31613862452196495</v>
      </c>
      <c r="P22" s="13"/>
      <c r="Q22" s="15">
        <f t="shared" ref="Q21:Q41" si="5">+C22-15018.5</f>
        <v>235.95000000000073</v>
      </c>
    </row>
    <row r="23" spans="1:21" x14ac:dyDescent="0.2">
      <c r="A23" s="48" t="s">
        <v>73</v>
      </c>
      <c r="B23" s="49" t="s">
        <v>51</v>
      </c>
      <c r="C23" s="48">
        <v>15615.34</v>
      </c>
      <c r="D23" s="48" t="s">
        <v>66</v>
      </c>
      <c r="E23" s="13">
        <f t="shared" si="0"/>
        <v>-2587.9895050940909</v>
      </c>
      <c r="F23" s="13">
        <f t="shared" si="1"/>
        <v>-2588</v>
      </c>
      <c r="G23" s="13">
        <f t="shared" si="2"/>
        <v>4.4343999999910011E-2</v>
      </c>
      <c r="H23" s="13">
        <f t="shared" si="3"/>
        <v>4.4343999999910011E-2</v>
      </c>
      <c r="I23" s="13"/>
      <c r="K23" s="13"/>
      <c r="L23" s="13"/>
      <c r="M23" s="13"/>
      <c r="N23" s="13"/>
      <c r="O23" s="13">
        <f t="shared" ca="1" si="4"/>
        <v>-0.31181651058803111</v>
      </c>
      <c r="P23" s="13"/>
      <c r="Q23" s="15">
        <f t="shared" si="5"/>
        <v>596.84000000000015</v>
      </c>
    </row>
    <row r="24" spans="1:21" x14ac:dyDescent="0.2">
      <c r="A24" s="48" t="s">
        <v>73</v>
      </c>
      <c r="B24" s="49" t="s">
        <v>51</v>
      </c>
      <c r="C24" s="48">
        <v>15615.43</v>
      </c>
      <c r="D24" s="48" t="s">
        <v>66</v>
      </c>
      <c r="E24" s="13">
        <f t="shared" si="0"/>
        <v>-2587.9682047708939</v>
      </c>
      <c r="F24" s="13">
        <f t="shared" si="1"/>
        <v>-2588</v>
      </c>
      <c r="G24" s="13">
        <f t="shared" si="2"/>
        <v>0.13434400000005553</v>
      </c>
      <c r="H24" s="13">
        <f t="shared" si="3"/>
        <v>0.13434400000005553</v>
      </c>
      <c r="I24" s="13"/>
      <c r="K24" s="13"/>
      <c r="L24" s="13"/>
      <c r="M24" s="13"/>
      <c r="N24" s="13"/>
      <c r="O24" s="13">
        <f t="shared" ca="1" si="4"/>
        <v>-0.31181651058803111</v>
      </c>
      <c r="P24" s="13"/>
      <c r="Q24" s="15">
        <f t="shared" si="5"/>
        <v>596.93000000000029</v>
      </c>
    </row>
    <row r="25" spans="1:21" x14ac:dyDescent="0.2">
      <c r="A25" s="48" t="s">
        <v>73</v>
      </c>
      <c r="B25" s="49" t="s">
        <v>51</v>
      </c>
      <c r="C25" s="48">
        <v>17562.240000000002</v>
      </c>
      <c r="D25" s="48" t="s">
        <v>66</v>
      </c>
      <c r="E25" s="13">
        <f t="shared" si="0"/>
        <v>-2127.2161802935088</v>
      </c>
      <c r="F25" s="13">
        <f t="shared" si="1"/>
        <v>-2127</v>
      </c>
      <c r="G25" s="13">
        <f t="shared" si="2"/>
        <v>-0.91342399999848567</v>
      </c>
      <c r="H25" s="13">
        <f t="shared" si="3"/>
        <v>-0.91342399999848567</v>
      </c>
      <c r="I25" s="13"/>
      <c r="K25" s="13"/>
      <c r="L25" s="13"/>
      <c r="M25" s="13"/>
      <c r="N25" s="13"/>
      <c r="O25" s="13">
        <f t="shared" ca="1" si="4"/>
        <v>-0.28851248107290273</v>
      </c>
      <c r="P25" s="13"/>
      <c r="Q25" s="15">
        <f t="shared" si="5"/>
        <v>2543.7400000000016</v>
      </c>
    </row>
    <row r="26" spans="1:21" x14ac:dyDescent="0.2">
      <c r="A26" s="48" t="s">
        <v>73</v>
      </c>
      <c r="B26" s="49" t="s">
        <v>51</v>
      </c>
      <c r="C26" s="48">
        <v>26550.294000000002</v>
      </c>
      <c r="D26" s="48" t="s">
        <v>66</v>
      </c>
      <c r="E26" s="13">
        <f t="shared" si="0"/>
        <v>-1.1123502113621894E-2</v>
      </c>
      <c r="F26" s="13">
        <f t="shared" si="1"/>
        <v>0</v>
      </c>
      <c r="G26" s="13">
        <f t="shared" si="2"/>
        <v>-4.6999999998661224E-2</v>
      </c>
      <c r="H26" s="13">
        <f t="shared" si="3"/>
        <v>-4.6999999998661224E-2</v>
      </c>
      <c r="I26" s="13"/>
      <c r="K26" s="13"/>
      <c r="L26" s="13"/>
      <c r="M26" s="13"/>
      <c r="N26" s="13"/>
      <c r="O26" s="13">
        <f t="shared" ca="1" si="4"/>
        <v>-0.18099041864626902</v>
      </c>
      <c r="P26" s="13"/>
      <c r="Q26" s="15">
        <f t="shared" si="5"/>
        <v>11531.794000000002</v>
      </c>
    </row>
    <row r="27" spans="1:21" x14ac:dyDescent="0.2">
      <c r="A27" s="13" t="s">
        <v>15</v>
      </c>
      <c r="B27" s="13"/>
      <c r="C27" s="14">
        <v>26550.341</v>
      </c>
      <c r="D27" s="14" t="s">
        <v>17</v>
      </c>
      <c r="E27" s="13">
        <f t="shared" si="0"/>
        <v>0</v>
      </c>
      <c r="F27" s="13">
        <f t="shared" si="1"/>
        <v>0</v>
      </c>
      <c r="G27" s="13">
        <f t="shared" si="2"/>
        <v>0</v>
      </c>
      <c r="H27" s="13">
        <f>+G27</f>
        <v>0</v>
      </c>
      <c r="I27" s="13"/>
      <c r="J27" s="13"/>
      <c r="K27" s="13"/>
      <c r="L27" s="13"/>
      <c r="M27" s="13"/>
      <c r="N27" s="13"/>
      <c r="O27" s="13">
        <f t="shared" ca="1" si="4"/>
        <v>-0.18099041864626902</v>
      </c>
      <c r="P27" s="13"/>
      <c r="Q27" s="15">
        <f t="shared" si="5"/>
        <v>11531.841</v>
      </c>
    </row>
    <row r="28" spans="1:21" x14ac:dyDescent="0.2">
      <c r="A28" s="48" t="s">
        <v>73</v>
      </c>
      <c r="B28" s="49" t="s">
        <v>37</v>
      </c>
      <c r="C28" s="48">
        <v>26552.508000000002</v>
      </c>
      <c r="D28" s="48" t="s">
        <v>66</v>
      </c>
      <c r="E28" s="13">
        <f t="shared" si="0"/>
        <v>0.51286444853020208</v>
      </c>
      <c r="F28" s="13">
        <f t="shared" si="1"/>
        <v>0.5</v>
      </c>
      <c r="G28" s="13">
        <f t="shared" si="2"/>
        <v>5.435600000055274E-2</v>
      </c>
      <c r="H28" s="13">
        <f>G28</f>
        <v>5.435600000055274E-2</v>
      </c>
      <c r="I28" s="13"/>
      <c r="K28" s="13"/>
      <c r="L28" s="13"/>
      <c r="M28" s="13"/>
      <c r="N28" s="13"/>
      <c r="O28" s="13">
        <f t="shared" ca="1" si="4"/>
        <v>-0.18096514312618753</v>
      </c>
      <c r="P28" s="13"/>
      <c r="Q28" s="15">
        <f t="shared" si="5"/>
        <v>11534.008000000002</v>
      </c>
    </row>
    <row r="29" spans="1:21" x14ac:dyDescent="0.2">
      <c r="A29" s="48" t="s">
        <v>97</v>
      </c>
      <c r="B29" s="49" t="s">
        <v>37</v>
      </c>
      <c r="C29" s="48">
        <v>30874.5</v>
      </c>
      <c r="D29" s="48" t="s">
        <v>66</v>
      </c>
      <c r="E29" s="13">
        <f t="shared" si="0"/>
        <v>1023.3998250533454</v>
      </c>
      <c r="F29" s="13">
        <f t="shared" si="1"/>
        <v>1023.5</v>
      </c>
      <c r="G29" s="13">
        <f t="shared" si="2"/>
        <v>-0.42326799999864306</v>
      </c>
      <c r="H29" s="13"/>
      <c r="I29" s="13">
        <f t="shared" ref="I29:I37" si="6">G29</f>
        <v>-0.42326799999864306</v>
      </c>
      <c r="K29" s="13"/>
      <c r="L29" s="13"/>
      <c r="M29" s="13"/>
      <c r="N29" s="13"/>
      <c r="O29" s="13">
        <f t="shared" ca="1" si="4"/>
        <v>-0.1292514290394709</v>
      </c>
      <c r="P29" s="13"/>
      <c r="Q29" s="15">
        <f t="shared" si="5"/>
        <v>15856</v>
      </c>
    </row>
    <row r="30" spans="1:21" x14ac:dyDescent="0.2">
      <c r="A30" s="48" t="s">
        <v>97</v>
      </c>
      <c r="B30" s="49" t="s">
        <v>51</v>
      </c>
      <c r="C30" s="48">
        <v>33661.508000000002</v>
      </c>
      <c r="D30" s="48" t="s">
        <v>66</v>
      </c>
      <c r="E30" s="13">
        <f t="shared" si="0"/>
        <v>1683.0017267462008</v>
      </c>
      <c r="F30" s="13">
        <f t="shared" si="1"/>
        <v>1683</v>
      </c>
      <c r="G30" s="13">
        <f t="shared" si="2"/>
        <v>7.2960000034072436E-3</v>
      </c>
      <c r="H30" s="13"/>
      <c r="I30" s="13">
        <f t="shared" si="6"/>
        <v>7.2960000034072436E-3</v>
      </c>
      <c r="K30" s="13"/>
      <c r="L30" s="13"/>
      <c r="M30" s="13"/>
      <c r="N30" s="13"/>
      <c r="O30" s="13">
        <f t="shared" ca="1" si="4"/>
        <v>-9.5913018051993287E-2</v>
      </c>
      <c r="P30" s="13"/>
      <c r="Q30" s="15">
        <f t="shared" si="5"/>
        <v>18643.008000000002</v>
      </c>
    </row>
    <row r="31" spans="1:21" x14ac:dyDescent="0.2">
      <c r="A31" s="48" t="s">
        <v>97</v>
      </c>
      <c r="B31" s="49" t="s">
        <v>37</v>
      </c>
      <c r="C31" s="48">
        <v>33967.822</v>
      </c>
      <c r="D31" s="48" t="s">
        <v>66</v>
      </c>
      <c r="E31" s="13">
        <f t="shared" si="0"/>
        <v>1755.4971400766053</v>
      </c>
      <c r="F31" s="13">
        <f t="shared" si="1"/>
        <v>1755.5</v>
      </c>
      <c r="G31" s="13">
        <f t="shared" si="2"/>
        <v>-1.2084000001777895E-2</v>
      </c>
      <c r="H31" s="13"/>
      <c r="I31" s="13">
        <f t="shared" si="6"/>
        <v>-1.2084000001777895E-2</v>
      </c>
      <c r="K31" s="13"/>
      <c r="L31" s="13"/>
      <c r="M31" s="13"/>
      <c r="N31" s="13"/>
      <c r="O31" s="13">
        <f t="shared" ca="1" si="4"/>
        <v>-9.224806764017808E-2</v>
      </c>
      <c r="P31" s="13"/>
      <c r="Q31" s="15">
        <f t="shared" si="5"/>
        <v>18949.322</v>
      </c>
    </row>
    <row r="32" spans="1:21" s="54" customFormat="1" ht="12" customHeight="1" x14ac:dyDescent="0.2">
      <c r="A32" s="48" t="s">
        <v>97</v>
      </c>
      <c r="B32" s="49" t="s">
        <v>51</v>
      </c>
      <c r="C32" s="48">
        <v>33995.315000000002</v>
      </c>
      <c r="D32" s="48" t="s">
        <v>66</v>
      </c>
      <c r="E32" s="54">
        <f t="shared" si="0"/>
        <v>1762.0039154727447</v>
      </c>
      <c r="F32" s="54">
        <f t="shared" si="1"/>
        <v>1762</v>
      </c>
      <c r="G32" s="54">
        <f t="shared" si="2"/>
        <v>1.6543999998248182E-2</v>
      </c>
      <c r="I32" s="54">
        <f t="shared" si="6"/>
        <v>1.6543999998248182E-2</v>
      </c>
      <c r="O32" s="54">
        <f t="shared" ca="1" si="4"/>
        <v>-9.1919485879118787E-2</v>
      </c>
      <c r="Q32" s="55">
        <f t="shared" si="5"/>
        <v>18976.815000000002</v>
      </c>
    </row>
    <row r="33" spans="1:29" s="54" customFormat="1" ht="12" customHeight="1" x14ac:dyDescent="0.2">
      <c r="A33" s="48" t="s">
        <v>97</v>
      </c>
      <c r="B33" s="49" t="s">
        <v>51</v>
      </c>
      <c r="C33" s="48">
        <v>34430.489000000001</v>
      </c>
      <c r="D33" s="48" t="s">
        <v>66</v>
      </c>
      <c r="E33" s="54">
        <f t="shared" si="0"/>
        <v>1864.9966582159609</v>
      </c>
      <c r="F33" s="54">
        <f t="shared" si="1"/>
        <v>1865</v>
      </c>
      <c r="G33" s="54">
        <f t="shared" si="2"/>
        <v>-1.411999999982072E-2</v>
      </c>
      <c r="I33" s="54">
        <f t="shared" si="6"/>
        <v>-1.411999999982072E-2</v>
      </c>
      <c r="O33" s="54">
        <f t="shared" ca="1" si="4"/>
        <v>-8.6712728742333045E-2</v>
      </c>
      <c r="Q33" s="55">
        <f t="shared" si="5"/>
        <v>19411.989000000001</v>
      </c>
    </row>
    <row r="34" spans="1:29" s="54" customFormat="1" ht="12" customHeight="1" x14ac:dyDescent="0.2">
      <c r="A34" s="48" t="s">
        <v>97</v>
      </c>
      <c r="B34" s="49" t="s">
        <v>37</v>
      </c>
      <c r="C34" s="48">
        <v>34432.618000000002</v>
      </c>
      <c r="D34" s="48" t="s">
        <v>66</v>
      </c>
      <c r="E34" s="54">
        <f t="shared" si="0"/>
        <v>1865.5005291946968</v>
      </c>
      <c r="F34" s="54">
        <f t="shared" si="1"/>
        <v>1865.5</v>
      </c>
      <c r="G34" s="54">
        <f t="shared" si="2"/>
        <v>2.2360000002663583E-3</v>
      </c>
      <c r="I34" s="54">
        <f t="shared" si="6"/>
        <v>2.2360000002663583E-3</v>
      </c>
      <c r="O34" s="54">
        <f t="shared" ca="1" si="4"/>
        <v>-8.6687453222251562E-2</v>
      </c>
      <c r="Q34" s="55">
        <f t="shared" si="5"/>
        <v>19414.118000000002</v>
      </c>
    </row>
    <row r="35" spans="1:29" s="54" customFormat="1" ht="12" customHeight="1" x14ac:dyDescent="0.2">
      <c r="A35" s="48" t="s">
        <v>97</v>
      </c>
      <c r="B35" s="49" t="s">
        <v>51</v>
      </c>
      <c r="C35" s="48">
        <v>34760.057999999997</v>
      </c>
      <c r="D35" s="48" t="s">
        <v>66</v>
      </c>
      <c r="E35" s="54">
        <f t="shared" si="0"/>
        <v>1942.9958383901871</v>
      </c>
      <c r="F35" s="54">
        <f t="shared" si="1"/>
        <v>1943</v>
      </c>
      <c r="G35" s="54">
        <f t="shared" si="2"/>
        <v>-1.7584000001079403E-2</v>
      </c>
      <c r="I35" s="54">
        <f t="shared" si="6"/>
        <v>-1.7584000001079403E-2</v>
      </c>
      <c r="O35" s="54">
        <f t="shared" ca="1" si="4"/>
        <v>-8.2769747609621511E-2</v>
      </c>
      <c r="Q35" s="55">
        <f t="shared" si="5"/>
        <v>19741.557999999997</v>
      </c>
    </row>
    <row r="36" spans="1:29" s="54" customFormat="1" ht="12" customHeight="1" x14ac:dyDescent="0.2">
      <c r="A36" s="48" t="s">
        <v>97</v>
      </c>
      <c r="B36" s="49" t="s">
        <v>37</v>
      </c>
      <c r="C36" s="48">
        <v>35053.747000000003</v>
      </c>
      <c r="D36" s="48" t="s">
        <v>66</v>
      </c>
      <c r="E36" s="54">
        <f t="shared" si="0"/>
        <v>2012.5032897165834</v>
      </c>
      <c r="F36" s="54">
        <f t="shared" si="1"/>
        <v>2012.5</v>
      </c>
      <c r="G36" s="54">
        <f t="shared" si="2"/>
        <v>1.3900000005378388E-2</v>
      </c>
      <c r="I36" s="54">
        <f t="shared" si="6"/>
        <v>1.3900000005378388E-2</v>
      </c>
      <c r="O36" s="54">
        <f t="shared" ca="1" si="4"/>
        <v>-7.9256450318295216E-2</v>
      </c>
      <c r="Q36" s="55">
        <f t="shared" si="5"/>
        <v>20035.247000000003</v>
      </c>
    </row>
    <row r="37" spans="1:29" s="54" customFormat="1" ht="12" customHeight="1" x14ac:dyDescent="0.2">
      <c r="A37" s="48" t="s">
        <v>97</v>
      </c>
      <c r="B37" s="49" t="s">
        <v>51</v>
      </c>
      <c r="C37" s="48">
        <v>35440.345999999998</v>
      </c>
      <c r="D37" s="48" t="s">
        <v>66</v>
      </c>
      <c r="E37" s="54">
        <f t="shared" si="0"/>
        <v>2103.9997746899139</v>
      </c>
      <c r="F37" s="54">
        <f t="shared" si="1"/>
        <v>2104</v>
      </c>
      <c r="G37" s="54">
        <f t="shared" si="2"/>
        <v>-9.5200000214390457E-4</v>
      </c>
      <c r="I37" s="54">
        <f t="shared" si="6"/>
        <v>-9.5200000214390457E-4</v>
      </c>
      <c r="O37" s="54">
        <f t="shared" ca="1" si="4"/>
        <v>-7.4631030143383612E-2</v>
      </c>
      <c r="Q37" s="55">
        <f t="shared" si="5"/>
        <v>20421.845999999998</v>
      </c>
    </row>
    <row r="38" spans="1:29" s="54" customFormat="1" ht="12" customHeight="1" x14ac:dyDescent="0.2">
      <c r="A38" s="54" t="s">
        <v>32</v>
      </c>
      <c r="B38" s="56" t="s">
        <v>37</v>
      </c>
      <c r="C38" s="57">
        <v>42718.307000000001</v>
      </c>
      <c r="D38" s="57"/>
      <c r="E38" s="54">
        <f t="shared" si="0"/>
        <v>3826.4766804061642</v>
      </c>
      <c r="F38" s="54">
        <f t="shared" si="1"/>
        <v>3826.5</v>
      </c>
      <c r="O38" s="54">
        <f t="shared" ca="1" si="4"/>
        <v>1.2443136537329369E-2</v>
      </c>
      <c r="Q38" s="55">
        <f t="shared" si="5"/>
        <v>27699.807000000001</v>
      </c>
      <c r="U38" s="54">
        <f>+C38-(C$7+F38*C$8)</f>
        <v>-9.8532000003615394E-2</v>
      </c>
      <c r="AA38" s="54" t="s">
        <v>31</v>
      </c>
      <c r="AC38" s="54" t="s">
        <v>33</v>
      </c>
    </row>
    <row r="39" spans="1:29" s="54" customFormat="1" ht="12" customHeight="1" x14ac:dyDescent="0.2">
      <c r="A39" s="54" t="s">
        <v>34</v>
      </c>
      <c r="C39" s="57">
        <v>43755.771000000001</v>
      </c>
      <c r="D39" s="57"/>
      <c r="E39" s="54">
        <f t="shared" si="0"/>
        <v>4072.0135526856398</v>
      </c>
      <c r="F39" s="54">
        <f t="shared" si="1"/>
        <v>4072</v>
      </c>
      <c r="G39" s="54">
        <f>+C39-(C$7+F39*C$8)</f>
        <v>5.7263999995484482E-2</v>
      </c>
      <c r="I39" s="54">
        <f>+G39</f>
        <v>5.7263999995484482E-2</v>
      </c>
      <c r="O39" s="54">
        <f t="shared" ca="1" si="4"/>
        <v>2.485341689733811E-2</v>
      </c>
      <c r="Q39" s="55">
        <f t="shared" si="5"/>
        <v>28737.271000000001</v>
      </c>
      <c r="AA39" s="54" t="s">
        <v>31</v>
      </c>
      <c r="AC39" s="54" t="s">
        <v>33</v>
      </c>
    </row>
    <row r="40" spans="1:29" s="54" customFormat="1" ht="12" customHeight="1" x14ac:dyDescent="0.2">
      <c r="A40" s="54" t="s">
        <v>35</v>
      </c>
      <c r="C40" s="57">
        <v>45216.595999999998</v>
      </c>
      <c r="D40" s="58" t="s">
        <v>42</v>
      </c>
      <c r="E40" s="54">
        <f t="shared" si="0"/>
        <v>4417.7473819536081</v>
      </c>
      <c r="F40" s="54">
        <f t="shared" si="1"/>
        <v>4417.5</v>
      </c>
      <c r="O40" s="54">
        <f t="shared" ca="1" si="4"/>
        <v>4.231880127364368E-2</v>
      </c>
      <c r="Q40" s="55">
        <f t="shared" si="5"/>
        <v>30198.095999999998</v>
      </c>
      <c r="U40" s="21">
        <v>1.0452599999989616</v>
      </c>
      <c r="AA40" s="54" t="s">
        <v>31</v>
      </c>
      <c r="AC40" s="54" t="s">
        <v>33</v>
      </c>
    </row>
    <row r="41" spans="1:29" s="54" customFormat="1" ht="12" customHeight="1" x14ac:dyDescent="0.2">
      <c r="A41" s="54" t="s">
        <v>35</v>
      </c>
      <c r="C41" s="57">
        <v>45218.745000000003</v>
      </c>
      <c r="D41" s="58" t="s">
        <v>42</v>
      </c>
      <c r="E41" s="54">
        <f t="shared" si="0"/>
        <v>4418.2559863375</v>
      </c>
      <c r="F41" s="54">
        <f t="shared" si="1"/>
        <v>4418.5</v>
      </c>
      <c r="O41" s="54">
        <f t="shared" ca="1" si="4"/>
        <v>4.2369352313806646E-2</v>
      </c>
      <c r="Q41" s="55">
        <f t="shared" si="5"/>
        <v>30200.245000000003</v>
      </c>
      <c r="U41" s="21">
        <v>-1.0310279999976046</v>
      </c>
      <c r="AA41" s="54" t="s">
        <v>31</v>
      </c>
      <c r="AC41" s="54" t="s">
        <v>33</v>
      </c>
    </row>
    <row r="42" spans="1:29" s="54" customFormat="1" ht="12" customHeight="1" x14ac:dyDescent="0.2">
      <c r="A42" s="33" t="s">
        <v>50</v>
      </c>
      <c r="B42" s="34" t="s">
        <v>51</v>
      </c>
      <c r="C42" s="33">
        <v>45623.37</v>
      </c>
      <c r="D42" s="33" t="s">
        <v>52</v>
      </c>
      <c r="E42" s="54">
        <f t="shared" ref="E42:E55" si="7">+(C42-C$7)/C$8</f>
        <v>4514.0186893769142</v>
      </c>
      <c r="F42" s="54">
        <f t="shared" ref="F42:F56" si="8">ROUND(2*E42,0)/2</f>
        <v>4514</v>
      </c>
      <c r="G42" s="54">
        <f>+C42-(C$7+F42*C$8)</f>
        <v>7.8968000001623295E-2</v>
      </c>
      <c r="I42" s="54">
        <f>+G42</f>
        <v>7.8968000001623295E-2</v>
      </c>
      <c r="O42" s="54">
        <f t="shared" ref="O42:O55" ca="1" si="9">+C$11+C$12*F42</f>
        <v>4.7196976649370115E-2</v>
      </c>
      <c r="Q42" s="55">
        <f t="shared" ref="Q42:Q55" si="10">+C42-15018.5</f>
        <v>30604.870000000003</v>
      </c>
    </row>
    <row r="43" spans="1:29" s="54" customFormat="1" ht="12" customHeight="1" x14ac:dyDescent="0.2">
      <c r="A43" s="54" t="s">
        <v>36</v>
      </c>
      <c r="C43" s="57">
        <v>48513.5</v>
      </c>
      <c r="D43" s="57"/>
      <c r="E43" s="54">
        <f t="shared" si="7"/>
        <v>5198.0265013887811</v>
      </c>
      <c r="F43" s="54">
        <f t="shared" si="8"/>
        <v>5198</v>
      </c>
      <c r="G43" s="54">
        <f>+C43-(C$7+F43*C$8)</f>
        <v>0.11197600000014063</v>
      </c>
      <c r="I43" s="54">
        <f>+G43</f>
        <v>0.11197600000014063</v>
      </c>
      <c r="O43" s="54">
        <f t="shared" ca="1" si="9"/>
        <v>8.1773888120840466E-2</v>
      </c>
      <c r="Q43" s="55">
        <f t="shared" si="10"/>
        <v>33495</v>
      </c>
      <c r="AA43" s="54" t="s">
        <v>31</v>
      </c>
      <c r="AC43" s="54" t="s">
        <v>33</v>
      </c>
    </row>
    <row r="44" spans="1:29" s="54" customFormat="1" ht="12" customHeight="1" x14ac:dyDescent="0.2">
      <c r="A44" s="48" t="s">
        <v>155</v>
      </c>
      <c r="B44" s="49" t="s">
        <v>51</v>
      </c>
      <c r="C44" s="48">
        <v>51779.406000000003</v>
      </c>
      <c r="D44" s="48" t="s">
        <v>66</v>
      </c>
      <c r="E44" s="54">
        <f t="shared" si="7"/>
        <v>5970.9693161744244</v>
      </c>
      <c r="F44" s="54">
        <f t="shared" si="8"/>
        <v>5971</v>
      </c>
      <c r="O44" s="54">
        <f t="shared" ca="1" si="9"/>
        <v>0.12084984216681499</v>
      </c>
      <c r="Q44" s="55">
        <f t="shared" si="10"/>
        <v>36760.906000000003</v>
      </c>
      <c r="U44" s="54">
        <f>+C44-(C$7+F44*C$8)</f>
        <v>-0.12964800000190735</v>
      </c>
    </row>
    <row r="45" spans="1:29" s="54" customFormat="1" ht="12" customHeight="1" x14ac:dyDescent="0.2">
      <c r="A45" s="48" t="s">
        <v>159</v>
      </c>
      <c r="B45" s="49" t="s">
        <v>51</v>
      </c>
      <c r="C45" s="48">
        <v>52193.51</v>
      </c>
      <c r="D45" s="48" t="s">
        <v>66</v>
      </c>
      <c r="E45" s="54">
        <f t="shared" si="7"/>
        <v>6068.9754165869881</v>
      </c>
      <c r="F45" s="54">
        <f t="shared" si="8"/>
        <v>6069</v>
      </c>
      <c r="O45" s="54">
        <f t="shared" ca="1" si="9"/>
        <v>0.12580384410278589</v>
      </c>
      <c r="Q45" s="55">
        <f t="shared" si="10"/>
        <v>37175.01</v>
      </c>
      <c r="U45" s="54">
        <f>+C45-(C$7+F45*C$8)</f>
        <v>-0.10387199999968288</v>
      </c>
    </row>
    <row r="46" spans="1:29" s="54" customFormat="1" ht="12" customHeight="1" x14ac:dyDescent="0.2">
      <c r="A46" s="48" t="s">
        <v>163</v>
      </c>
      <c r="B46" s="49" t="s">
        <v>51</v>
      </c>
      <c r="C46" s="48">
        <v>52548.404999999999</v>
      </c>
      <c r="D46" s="48" t="s">
        <v>66</v>
      </c>
      <c r="E46" s="54">
        <f t="shared" si="7"/>
        <v>6152.9685077088234</v>
      </c>
      <c r="F46" s="54">
        <f t="shared" si="8"/>
        <v>6153</v>
      </c>
      <c r="O46" s="54">
        <f t="shared" ca="1" si="9"/>
        <v>0.13005013147647526</v>
      </c>
      <c r="Q46" s="55">
        <f t="shared" si="10"/>
        <v>37529.904999999999</v>
      </c>
      <c r="U46" s="54">
        <f>+C46-(C$7+F46*C$8)</f>
        <v>-0.13306400000146823</v>
      </c>
    </row>
    <row r="47" spans="1:29" s="54" customFormat="1" ht="12" customHeight="1" x14ac:dyDescent="0.2">
      <c r="A47" s="8" t="s">
        <v>41</v>
      </c>
      <c r="B47" s="9" t="s">
        <v>37</v>
      </c>
      <c r="C47" s="10">
        <v>52863.454400000002</v>
      </c>
      <c r="D47" s="10">
        <v>6.9999999999999999E-4</v>
      </c>
      <c r="E47" s="54">
        <f t="shared" si="7"/>
        <v>6227.5313304087204</v>
      </c>
      <c r="F47" s="54">
        <f t="shared" si="8"/>
        <v>6227.5</v>
      </c>
      <c r="G47" s="54">
        <f t="shared" ref="G47:G55" si="11">+C47-(C$7+F47*C$8)</f>
        <v>0.13238000000274042</v>
      </c>
      <c r="K47" s="54">
        <f>G47</f>
        <v>0.13238000000274042</v>
      </c>
      <c r="O47" s="54">
        <f t="shared" ca="1" si="9"/>
        <v>0.13381618396861639</v>
      </c>
      <c r="Q47" s="55">
        <f t="shared" si="10"/>
        <v>37844.954400000002</v>
      </c>
    </row>
    <row r="48" spans="1:29" s="54" customFormat="1" ht="12" customHeight="1" x14ac:dyDescent="0.2">
      <c r="A48" s="59" t="s">
        <v>38</v>
      </c>
      <c r="B48" s="60" t="s">
        <v>37</v>
      </c>
      <c r="C48" s="61">
        <v>53070.480300000003</v>
      </c>
      <c r="D48" s="61">
        <v>2.5999999999999999E-3</v>
      </c>
      <c r="E48" s="54">
        <f t="shared" si="7"/>
        <v>6276.5282035212758</v>
      </c>
      <c r="F48" s="54">
        <f t="shared" si="8"/>
        <v>6276.5</v>
      </c>
      <c r="G48" s="54">
        <f t="shared" si="11"/>
        <v>0.11916800000471994</v>
      </c>
      <c r="K48" s="54">
        <f>G48</f>
        <v>0.11916800000471994</v>
      </c>
      <c r="O48" s="54">
        <f t="shared" ca="1" si="9"/>
        <v>0.13629318493660186</v>
      </c>
      <c r="Q48" s="55">
        <f t="shared" si="10"/>
        <v>38051.980300000003</v>
      </c>
    </row>
    <row r="49" spans="1:17" s="54" customFormat="1" ht="12" customHeight="1" x14ac:dyDescent="0.2">
      <c r="A49" s="48" t="s">
        <v>181</v>
      </c>
      <c r="B49" s="49" t="s">
        <v>51</v>
      </c>
      <c r="C49" s="48">
        <v>54382.479700000004</v>
      </c>
      <c r="D49" s="48" t="s">
        <v>66</v>
      </c>
      <c r="E49" s="54">
        <f t="shared" si="7"/>
        <v>6587.0394396784322</v>
      </c>
      <c r="F49" s="54">
        <f t="shared" si="8"/>
        <v>6587</v>
      </c>
      <c r="G49" s="54">
        <f t="shared" si="11"/>
        <v>0.16664400000445312</v>
      </c>
      <c r="K49" s="54">
        <f>G49</f>
        <v>0.16664400000445312</v>
      </c>
      <c r="O49" s="54">
        <f t="shared" ca="1" si="9"/>
        <v>0.15198928290720354</v>
      </c>
      <c r="Q49" s="55">
        <f t="shared" si="10"/>
        <v>39363.979700000004</v>
      </c>
    </row>
    <row r="50" spans="1:17" s="54" customFormat="1" ht="12" customHeight="1" x14ac:dyDescent="0.2">
      <c r="A50" s="48" t="s">
        <v>207</v>
      </c>
      <c r="B50" s="49" t="s">
        <v>51</v>
      </c>
      <c r="C50" s="48">
        <v>54830.345999999998</v>
      </c>
      <c r="D50" s="48" t="s">
        <v>66</v>
      </c>
      <c r="E50" s="54">
        <f t="shared" si="7"/>
        <v>6693.0360723340036</v>
      </c>
      <c r="F50" s="54">
        <f t="shared" si="8"/>
        <v>6693</v>
      </c>
      <c r="G50" s="54">
        <f t="shared" si="11"/>
        <v>0.15241599999717437</v>
      </c>
      <c r="I50" s="54">
        <f>G50</f>
        <v>0.15241599999717437</v>
      </c>
      <c r="O50" s="54">
        <f t="shared" ca="1" si="9"/>
        <v>0.15734769316447816</v>
      </c>
      <c r="Q50" s="55">
        <f t="shared" si="10"/>
        <v>39811.845999999998</v>
      </c>
    </row>
    <row r="51" spans="1:17" s="54" customFormat="1" ht="12" customHeight="1" x14ac:dyDescent="0.2">
      <c r="A51" s="48" t="s">
        <v>194</v>
      </c>
      <c r="B51" s="49" t="s">
        <v>51</v>
      </c>
      <c r="C51" s="48">
        <v>55058.525999999998</v>
      </c>
      <c r="D51" s="48" t="s">
        <v>66</v>
      </c>
      <c r="E51" s="54">
        <f t="shared" si="7"/>
        <v>6747.039491745888</v>
      </c>
      <c r="F51" s="54">
        <f t="shared" si="8"/>
        <v>6747</v>
      </c>
      <c r="G51" s="54">
        <f t="shared" si="11"/>
        <v>0.16686399999889545</v>
      </c>
      <c r="I51" s="54">
        <f>G51</f>
        <v>0.16686399999889545</v>
      </c>
      <c r="O51" s="54">
        <f t="shared" ca="1" si="9"/>
        <v>0.16007744933327844</v>
      </c>
      <c r="Q51" s="55">
        <f t="shared" si="10"/>
        <v>40040.025999999998</v>
      </c>
    </row>
    <row r="52" spans="1:17" s="54" customFormat="1" ht="12" customHeight="1" x14ac:dyDescent="0.2">
      <c r="A52" s="62" t="s">
        <v>55</v>
      </c>
      <c r="B52" s="9" t="s">
        <v>51</v>
      </c>
      <c r="C52" s="33">
        <v>56539.515700000004</v>
      </c>
      <c r="D52" s="10">
        <v>1E-3</v>
      </c>
      <c r="E52" s="54">
        <f t="shared" si="7"/>
        <v>7097.5457057601761</v>
      </c>
      <c r="F52" s="54">
        <f t="shared" si="8"/>
        <v>7097.5</v>
      </c>
      <c r="G52" s="54">
        <f t="shared" si="11"/>
        <v>0.19312000000354601</v>
      </c>
      <c r="J52" s="54">
        <f>G52</f>
        <v>0.19312000000354601</v>
      </c>
      <c r="O52" s="54">
        <f t="shared" ca="1" si="9"/>
        <v>0.17779558891039887</v>
      </c>
      <c r="Q52" s="55">
        <f t="shared" si="10"/>
        <v>41521.015700000004</v>
      </c>
    </row>
    <row r="53" spans="1:17" s="54" customFormat="1" ht="12" customHeight="1" x14ac:dyDescent="0.2">
      <c r="A53" s="10" t="s">
        <v>56</v>
      </c>
      <c r="B53" s="9" t="s">
        <v>51</v>
      </c>
      <c r="C53" s="10">
        <v>56877.528100000003</v>
      </c>
      <c r="D53" s="10">
        <v>2.8299999999999999E-2</v>
      </c>
      <c r="E53" s="54">
        <f t="shared" si="7"/>
        <v>7177.5431875886334</v>
      </c>
      <c r="F53" s="54">
        <f t="shared" si="8"/>
        <v>7177.5</v>
      </c>
      <c r="G53" s="54">
        <f t="shared" si="11"/>
        <v>0.18248000000312459</v>
      </c>
      <c r="J53" s="54">
        <f>G53</f>
        <v>0.18248000000312459</v>
      </c>
      <c r="O53" s="54">
        <f t="shared" ca="1" si="9"/>
        <v>0.18183967212343632</v>
      </c>
      <c r="Q53" s="55">
        <f t="shared" si="10"/>
        <v>41859.028100000003</v>
      </c>
    </row>
    <row r="54" spans="1:17" s="54" customFormat="1" ht="12" customHeight="1" x14ac:dyDescent="0.2">
      <c r="A54" s="63" t="s">
        <v>1</v>
      </c>
      <c r="B54" s="64" t="s">
        <v>51</v>
      </c>
      <c r="C54" s="65">
        <v>57287.385999999999</v>
      </c>
      <c r="D54" s="72">
        <v>1.6899999999999998E-2</v>
      </c>
      <c r="E54" s="54">
        <f t="shared" si="7"/>
        <v>7274.5443624197924</v>
      </c>
      <c r="F54" s="54">
        <f t="shared" si="8"/>
        <v>7274.5</v>
      </c>
      <c r="G54" s="54">
        <f t="shared" si="11"/>
        <v>0.18744399999559391</v>
      </c>
      <c r="I54" s="54">
        <f>G54</f>
        <v>0.18744399999559391</v>
      </c>
      <c r="O54" s="54">
        <f t="shared" ca="1" si="9"/>
        <v>0.18674312301924428</v>
      </c>
      <c r="Q54" s="55">
        <f t="shared" si="10"/>
        <v>42268.885999999999</v>
      </c>
    </row>
    <row r="55" spans="1:17" s="54" customFormat="1" ht="12" customHeight="1" x14ac:dyDescent="0.2">
      <c r="A55" s="66" t="s">
        <v>2</v>
      </c>
      <c r="B55" s="67" t="s">
        <v>51</v>
      </c>
      <c r="C55" s="68">
        <v>57327.519</v>
      </c>
      <c r="D55" s="69">
        <v>0.02</v>
      </c>
      <c r="E55" s="54">
        <f t="shared" si="7"/>
        <v>7284.0426498738079</v>
      </c>
      <c r="F55" s="54">
        <f t="shared" si="8"/>
        <v>7284</v>
      </c>
      <c r="G55" s="54">
        <f t="shared" si="11"/>
        <v>0.18020800000522286</v>
      </c>
      <c r="I55" s="54">
        <f>G55</f>
        <v>0.18020800000522286</v>
      </c>
      <c r="O55" s="54">
        <f t="shared" ca="1" si="9"/>
        <v>0.18722335790079248</v>
      </c>
      <c r="Q55" s="55">
        <f t="shared" si="10"/>
        <v>42309.019</v>
      </c>
    </row>
    <row r="56" spans="1:17" s="54" customFormat="1" ht="12" customHeight="1" x14ac:dyDescent="0.2">
      <c r="A56" s="70" t="s">
        <v>0</v>
      </c>
      <c r="B56" s="71" t="s">
        <v>51</v>
      </c>
      <c r="C56" s="51">
        <v>58058.512999999999</v>
      </c>
      <c r="D56" s="51">
        <v>0.02</v>
      </c>
      <c r="E56" s="54">
        <f>+(C56-C$7)/C$8</f>
        <v>7457.0471882626698</v>
      </c>
      <c r="F56" s="54">
        <f t="shared" si="8"/>
        <v>7457</v>
      </c>
      <c r="G56" s="54">
        <f>+C56-(C$7+F56*C$8)</f>
        <v>0.19938399999955436</v>
      </c>
      <c r="I56" s="54">
        <f>G56</f>
        <v>0.19938399999955436</v>
      </c>
      <c r="O56" s="54">
        <f ca="1">+C$11+C$12*F56</f>
        <v>0.19596868784898597</v>
      </c>
      <c r="Q56" s="55">
        <f>+C56-15018.5</f>
        <v>43040.012999999999</v>
      </c>
    </row>
    <row r="57" spans="1:17" s="54" customFormat="1" ht="12" customHeight="1" x14ac:dyDescent="0.2">
      <c r="A57" s="52" t="s">
        <v>208</v>
      </c>
      <c r="B57" s="53" t="s">
        <v>51</v>
      </c>
      <c r="C57" s="73">
        <v>59431.7336</v>
      </c>
      <c r="D57" s="74">
        <v>2E-3</v>
      </c>
      <c r="E57" s="54">
        <f>+(C57-C$7)/C$8</f>
        <v>7782.0476616031856</v>
      </c>
      <c r="F57" s="54">
        <f t="shared" ref="F57" si="12">ROUND(2*E57,0)/2</f>
        <v>7782</v>
      </c>
      <c r="G57" s="54">
        <f>+C57-(C$7+F57*C$8)</f>
        <v>0.20138399999996182</v>
      </c>
      <c r="K57" s="54">
        <f>G57</f>
        <v>0.20138399999996182</v>
      </c>
      <c r="O57" s="54">
        <f ca="1">+C$11+C$12*F57</f>
        <v>0.21239777590195069</v>
      </c>
      <c r="Q57" s="55">
        <f>+C57-15018.5</f>
        <v>44413.2336</v>
      </c>
    </row>
    <row r="58" spans="1:17" s="54" customFormat="1" ht="12" customHeight="1" x14ac:dyDescent="0.2">
      <c r="B58" s="56"/>
      <c r="C58" s="57"/>
      <c r="D58" s="57"/>
    </row>
    <row r="59" spans="1:17" s="54" customFormat="1" ht="12" customHeight="1" x14ac:dyDescent="0.2">
      <c r="B59" s="56"/>
      <c r="C59" s="57"/>
      <c r="D59" s="57"/>
    </row>
    <row r="60" spans="1:17" s="54" customFormat="1" ht="12" customHeight="1" x14ac:dyDescent="0.2">
      <c r="B60" s="56"/>
      <c r="C60" s="57"/>
      <c r="D60" s="57"/>
    </row>
    <row r="61" spans="1:17" s="54" customFormat="1" ht="12" customHeight="1" x14ac:dyDescent="0.2">
      <c r="B61" s="56"/>
      <c r="C61" s="57"/>
      <c r="D61" s="57"/>
    </row>
    <row r="62" spans="1:17" s="54" customFormat="1" ht="12" customHeight="1" x14ac:dyDescent="0.2">
      <c r="B62" s="56"/>
      <c r="C62" s="57"/>
      <c r="D62" s="57"/>
    </row>
    <row r="63" spans="1:17" s="54" customFormat="1" ht="12" customHeight="1" x14ac:dyDescent="0.2">
      <c r="B63" s="56"/>
      <c r="C63" s="57"/>
      <c r="D63" s="57"/>
    </row>
    <row r="64" spans="1:17" x14ac:dyDescent="0.2">
      <c r="B64" s="19"/>
      <c r="C64" s="11"/>
      <c r="D64" s="11"/>
    </row>
    <row r="65" spans="2:4" x14ac:dyDescent="0.2">
      <c r="B65" s="19"/>
      <c r="C65" s="11"/>
      <c r="D65" s="11"/>
    </row>
    <row r="66" spans="2:4" x14ac:dyDescent="0.2">
      <c r="B66" s="19"/>
      <c r="C66" s="11"/>
      <c r="D66" s="11"/>
    </row>
    <row r="67" spans="2:4" x14ac:dyDescent="0.2">
      <c r="B67" s="19"/>
      <c r="C67" s="11"/>
      <c r="D67" s="11"/>
    </row>
    <row r="68" spans="2:4" x14ac:dyDescent="0.2">
      <c r="B68" s="19"/>
      <c r="C68" s="11"/>
      <c r="D68" s="11"/>
    </row>
    <row r="69" spans="2:4" x14ac:dyDescent="0.2">
      <c r="B69" s="19"/>
      <c r="C69" s="11"/>
      <c r="D69" s="11"/>
    </row>
    <row r="70" spans="2:4" x14ac:dyDescent="0.2">
      <c r="B70" s="19"/>
      <c r="C70" s="11"/>
      <c r="D70" s="11"/>
    </row>
    <row r="71" spans="2:4" x14ac:dyDescent="0.2">
      <c r="B71" s="19"/>
      <c r="C71" s="11"/>
      <c r="D71" s="11"/>
    </row>
    <row r="72" spans="2:4" x14ac:dyDescent="0.2">
      <c r="B72" s="19"/>
      <c r="C72" s="11"/>
      <c r="D72" s="11"/>
    </row>
    <row r="73" spans="2:4" x14ac:dyDescent="0.2">
      <c r="C73" s="11"/>
      <c r="D73" s="11"/>
    </row>
    <row r="74" spans="2:4" x14ac:dyDescent="0.2">
      <c r="C74" s="11"/>
      <c r="D74" s="11"/>
    </row>
    <row r="75" spans="2:4" x14ac:dyDescent="0.2">
      <c r="C75" s="11"/>
      <c r="D75" s="11"/>
    </row>
    <row r="76" spans="2:4" x14ac:dyDescent="0.2">
      <c r="C76" s="11"/>
      <c r="D76" s="11"/>
    </row>
    <row r="77" spans="2:4" x14ac:dyDescent="0.2">
      <c r="C77" s="11"/>
      <c r="D77" s="11"/>
    </row>
    <row r="78" spans="2:4" x14ac:dyDescent="0.2">
      <c r="C78" s="11"/>
      <c r="D78" s="11"/>
    </row>
    <row r="79" spans="2:4" x14ac:dyDescent="0.2">
      <c r="C79" s="11"/>
      <c r="D79" s="11"/>
    </row>
    <row r="80" spans="2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</sheetData>
  <phoneticPr fontId="8" type="noConversion"/>
  <hyperlinks>
    <hyperlink ref="H2043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I64675" r:id="rId4" display="http://vsolj.cetus-net.org/bulletin.html" xr:uid="{00000000-0004-0000-0000-000003000000}"/>
    <hyperlink ref="AQ58326" r:id="rId5" display="http://cdsbib.u-strasbg.fr/cgi-bin/cdsbib?1990RMxAA..21..381G" xr:uid="{00000000-0004-0000-0000-000004000000}"/>
    <hyperlink ref="H64672" r:id="rId6" display="https://www.aavso.org/ejaavso" xr:uid="{00000000-0004-0000-0000-000005000000}"/>
    <hyperlink ref="AP5690" r:id="rId7" display="http://cdsbib.u-strasbg.fr/cgi-bin/cdsbib?1990RMxAA..21..381G" xr:uid="{00000000-0004-0000-0000-000006000000}"/>
    <hyperlink ref="AP5693" r:id="rId8" display="http://cdsbib.u-strasbg.fr/cgi-bin/cdsbib?1990RMxAA..21..381G" xr:uid="{00000000-0004-0000-0000-000007000000}"/>
    <hyperlink ref="AP5691" r:id="rId9" display="http://cdsbib.u-strasbg.fr/cgi-bin/cdsbib?1990RMxAA..21..381G" xr:uid="{00000000-0004-0000-0000-000008000000}"/>
    <hyperlink ref="AP5675" r:id="rId10" display="http://cdsbib.u-strasbg.fr/cgi-bin/cdsbib?1990RMxAA..21..381G" xr:uid="{00000000-0004-0000-0000-000009000000}"/>
    <hyperlink ref="AQ5904" r:id="rId11" display="http://cdsbib.u-strasbg.fr/cgi-bin/cdsbib?1990RMxAA..21..381G" xr:uid="{00000000-0004-0000-0000-00000A000000}"/>
    <hyperlink ref="AQ5908" r:id="rId12" display="http://cdsbib.u-strasbg.fr/cgi-bin/cdsbib?1990RMxAA..21..381G" xr:uid="{00000000-0004-0000-0000-00000B000000}"/>
    <hyperlink ref="AQ52" r:id="rId13" display="http://cdsbib.u-strasbg.fr/cgi-bin/cdsbib?1990RMxAA..21..381G" xr:uid="{00000000-0004-0000-0000-00000C000000}"/>
    <hyperlink ref="I2796" r:id="rId14" display="http://vsolj.cetus-net.org/bulletin.html" xr:uid="{00000000-0004-0000-0000-00000D000000}"/>
    <hyperlink ref="H2796" r:id="rId15" display="http://vsolj.cetus-net.org/bulletin.html" xr:uid="{00000000-0004-0000-0000-00000E000000}"/>
    <hyperlink ref="AQ713" r:id="rId16" display="http://cdsbib.u-strasbg.fr/cgi-bin/cdsbib?1990RMxAA..21..381G" xr:uid="{00000000-0004-0000-0000-00000F000000}"/>
    <hyperlink ref="AQ712" r:id="rId17" display="http://cdsbib.u-strasbg.fr/cgi-bin/cdsbib?1990RMxAA..21..381G" xr:uid="{00000000-0004-0000-0000-000010000000}"/>
    <hyperlink ref="AP3966" r:id="rId18" display="http://cdsbib.u-strasbg.fr/cgi-bin/cdsbib?1990RMxAA..21..381G" xr:uid="{00000000-0004-0000-0000-000011000000}"/>
    <hyperlink ref="AP3984" r:id="rId19" display="http://cdsbib.u-strasbg.fr/cgi-bin/cdsbib?1990RMxAA..21..381G" xr:uid="{00000000-0004-0000-0000-000012000000}"/>
    <hyperlink ref="AP3985" r:id="rId20" display="http://cdsbib.u-strasbg.fr/cgi-bin/cdsbib?1990RMxAA..21..381G" xr:uid="{00000000-0004-0000-0000-000013000000}"/>
    <hyperlink ref="AP398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topLeftCell="A10" workbookViewId="0">
      <selection activeCell="A21" sqref="A21:D42"/>
    </sheetView>
  </sheetViews>
  <sheetFormatPr defaultRowHeight="12.75" x14ac:dyDescent="0.2"/>
  <cols>
    <col min="1" max="1" width="19.7109375" style="11" customWidth="1"/>
    <col min="2" max="2" width="4.42578125" style="12" customWidth="1"/>
    <col min="3" max="3" width="12.7109375" style="11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1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57</v>
      </c>
      <c r="I1" s="36" t="s">
        <v>58</v>
      </c>
      <c r="J1" s="37" t="s">
        <v>59</v>
      </c>
    </row>
    <row r="2" spans="1:16" x14ac:dyDescent="0.2">
      <c r="I2" s="38" t="s">
        <v>60</v>
      </c>
      <c r="J2" s="39" t="s">
        <v>61</v>
      </c>
    </row>
    <row r="3" spans="1:16" x14ac:dyDescent="0.2">
      <c r="A3" s="40" t="s">
        <v>62</v>
      </c>
      <c r="I3" s="38" t="s">
        <v>63</v>
      </c>
      <c r="J3" s="39" t="s">
        <v>52</v>
      </c>
    </row>
    <row r="4" spans="1:16" x14ac:dyDescent="0.2">
      <c r="I4" s="38" t="s">
        <v>64</v>
      </c>
      <c r="J4" s="39" t="s">
        <v>52</v>
      </c>
    </row>
    <row r="5" spans="1:16" ht="13.5" thickBot="1" x14ac:dyDescent="0.25">
      <c r="I5" s="41" t="s">
        <v>65</v>
      </c>
      <c r="J5" s="42" t="s">
        <v>66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MVS 7.149 </v>
      </c>
      <c r="B11" s="19" t="str">
        <f t="shared" ref="B11:B42" si="1">IF(H11=INT(H11),"I","II")</f>
        <v>II</v>
      </c>
      <c r="C11" s="11">
        <f t="shared" ref="C11:C42" si="2">1*G11</f>
        <v>42718.307000000001</v>
      </c>
      <c r="D11" s="12" t="str">
        <f t="shared" ref="D11:D42" si="3">VLOOKUP(F11,I$1:J$5,2,FALSE)</f>
        <v>vis</v>
      </c>
      <c r="E11" s="43">
        <f>VLOOKUP(C11,Active!C$21:E$973,3,FALSE)</f>
        <v>3826.4766804061642</v>
      </c>
      <c r="F11" s="19" t="s">
        <v>65</v>
      </c>
      <c r="G11" s="12" t="str">
        <f t="shared" ref="G11:G42" si="4">MID(I11,3,LEN(I11)-3)</f>
        <v>42718.307</v>
      </c>
      <c r="H11" s="11">
        <f t="shared" ref="H11:H42" si="5">1*K11</f>
        <v>3826.5</v>
      </c>
      <c r="I11" s="44" t="s">
        <v>123</v>
      </c>
      <c r="J11" s="45" t="s">
        <v>124</v>
      </c>
      <c r="K11" s="44">
        <v>3826.5</v>
      </c>
      <c r="L11" s="44" t="s">
        <v>125</v>
      </c>
      <c r="M11" s="45" t="s">
        <v>89</v>
      </c>
      <c r="N11" s="45"/>
      <c r="O11" s="46" t="s">
        <v>126</v>
      </c>
      <c r="P11" s="46" t="s">
        <v>127</v>
      </c>
    </row>
    <row r="12" spans="1:16" ht="12.75" customHeight="1" thickBot="1" x14ac:dyDescent="0.25">
      <c r="A12" s="11" t="str">
        <f t="shared" si="0"/>
        <v>BAVM 31 </v>
      </c>
      <c r="B12" s="19" t="str">
        <f t="shared" si="1"/>
        <v>I</v>
      </c>
      <c r="C12" s="11">
        <f t="shared" si="2"/>
        <v>43755.771000000001</v>
      </c>
      <c r="D12" s="12" t="str">
        <f t="shared" si="3"/>
        <v>vis</v>
      </c>
      <c r="E12" s="43">
        <f>VLOOKUP(C12,Active!C$21:E$973,3,FALSE)</f>
        <v>4072.0135526856398</v>
      </c>
      <c r="F12" s="19" t="s">
        <v>65</v>
      </c>
      <c r="G12" s="12" t="str">
        <f t="shared" si="4"/>
        <v>43755.771</v>
      </c>
      <c r="H12" s="11">
        <f t="shared" si="5"/>
        <v>4072</v>
      </c>
      <c r="I12" s="44" t="s">
        <v>128</v>
      </c>
      <c r="J12" s="45" t="s">
        <v>129</v>
      </c>
      <c r="K12" s="44">
        <v>4072</v>
      </c>
      <c r="L12" s="44" t="s">
        <v>130</v>
      </c>
      <c r="M12" s="45" t="s">
        <v>89</v>
      </c>
      <c r="N12" s="45"/>
      <c r="O12" s="46" t="s">
        <v>131</v>
      </c>
      <c r="P12" s="47" t="s">
        <v>132</v>
      </c>
    </row>
    <row r="13" spans="1:16" ht="12.75" customHeight="1" thickBot="1" x14ac:dyDescent="0.25">
      <c r="A13" s="11" t="str">
        <f t="shared" si="0"/>
        <v> VSSC 60.20 </v>
      </c>
      <c r="B13" s="19" t="str">
        <f t="shared" si="1"/>
        <v>I</v>
      </c>
      <c r="C13" s="11">
        <f t="shared" si="2"/>
        <v>45216.595999999998</v>
      </c>
      <c r="D13" s="12" t="str">
        <f t="shared" si="3"/>
        <v>vis</v>
      </c>
      <c r="E13" s="43">
        <f>VLOOKUP(C13,Active!C$21:E$973,3,FALSE)</f>
        <v>4417.7473819536081</v>
      </c>
      <c r="F13" s="19" t="s">
        <v>65</v>
      </c>
      <c r="G13" s="12" t="str">
        <f t="shared" si="4"/>
        <v>45216.596</v>
      </c>
      <c r="H13" s="11">
        <f t="shared" si="5"/>
        <v>4418</v>
      </c>
      <c r="I13" s="44" t="s">
        <v>133</v>
      </c>
      <c r="J13" s="45" t="s">
        <v>134</v>
      </c>
      <c r="K13" s="44">
        <v>4418</v>
      </c>
      <c r="L13" s="44" t="s">
        <v>135</v>
      </c>
      <c r="M13" s="45" t="s">
        <v>89</v>
      </c>
      <c r="N13" s="45"/>
      <c r="O13" s="46" t="s">
        <v>136</v>
      </c>
      <c r="P13" s="46" t="s">
        <v>137</v>
      </c>
    </row>
    <row r="14" spans="1:16" ht="12.75" customHeight="1" thickBot="1" x14ac:dyDescent="0.25">
      <c r="A14" s="11" t="str">
        <f t="shared" si="0"/>
        <v> VSSC 60.20 </v>
      </c>
      <c r="B14" s="19" t="str">
        <f t="shared" si="1"/>
        <v>I</v>
      </c>
      <c r="C14" s="11">
        <f t="shared" si="2"/>
        <v>45218.745000000003</v>
      </c>
      <c r="D14" s="12" t="str">
        <f t="shared" si="3"/>
        <v>vis</v>
      </c>
      <c r="E14" s="43">
        <f>VLOOKUP(C14,Active!C$21:E$973,3,FALSE)</f>
        <v>4418.2559863375</v>
      </c>
      <c r="F14" s="19" t="s">
        <v>65</v>
      </c>
      <c r="G14" s="12" t="str">
        <f t="shared" si="4"/>
        <v>45218.745</v>
      </c>
      <c r="H14" s="11">
        <f t="shared" si="5"/>
        <v>4418</v>
      </c>
      <c r="I14" s="44" t="s">
        <v>138</v>
      </c>
      <c r="J14" s="45" t="s">
        <v>139</v>
      </c>
      <c r="K14" s="44">
        <v>4418</v>
      </c>
      <c r="L14" s="44" t="s">
        <v>140</v>
      </c>
      <c r="M14" s="45" t="s">
        <v>89</v>
      </c>
      <c r="N14" s="45"/>
      <c r="O14" s="46" t="s">
        <v>136</v>
      </c>
      <c r="P14" s="46" t="s">
        <v>137</v>
      </c>
    </row>
    <row r="15" spans="1:16" ht="12.75" customHeight="1" thickBot="1" x14ac:dyDescent="0.25">
      <c r="A15" s="11" t="str">
        <f t="shared" si="0"/>
        <v>BAVM 202 </v>
      </c>
      <c r="B15" s="19" t="str">
        <f t="shared" si="1"/>
        <v>I</v>
      </c>
      <c r="C15" s="11">
        <f t="shared" si="2"/>
        <v>45623.37</v>
      </c>
      <c r="D15" s="12" t="str">
        <f t="shared" si="3"/>
        <v>vis</v>
      </c>
      <c r="E15" s="43">
        <f>VLOOKUP(C15,Active!C$21:E$973,3,FALSE)</f>
        <v>4514.0186893769142</v>
      </c>
      <c r="F15" s="19" t="s">
        <v>65</v>
      </c>
      <c r="G15" s="12" t="str">
        <f t="shared" si="4"/>
        <v>45623.370</v>
      </c>
      <c r="H15" s="11">
        <f t="shared" si="5"/>
        <v>4514</v>
      </c>
      <c r="I15" s="44" t="s">
        <v>141</v>
      </c>
      <c r="J15" s="45" t="s">
        <v>142</v>
      </c>
      <c r="K15" s="44">
        <v>4514</v>
      </c>
      <c r="L15" s="44" t="s">
        <v>143</v>
      </c>
      <c r="M15" s="45" t="s">
        <v>67</v>
      </c>
      <c r="N15" s="45"/>
      <c r="O15" s="46" t="s">
        <v>144</v>
      </c>
      <c r="P15" s="47" t="s">
        <v>145</v>
      </c>
    </row>
    <row r="16" spans="1:16" ht="12.75" customHeight="1" thickBot="1" x14ac:dyDescent="0.25">
      <c r="A16" s="11" t="str">
        <f t="shared" si="0"/>
        <v>BAVM 68 </v>
      </c>
      <c r="B16" s="19" t="str">
        <f t="shared" si="1"/>
        <v>I</v>
      </c>
      <c r="C16" s="11">
        <f t="shared" si="2"/>
        <v>48513.5</v>
      </c>
      <c r="D16" s="12" t="str">
        <f t="shared" si="3"/>
        <v>vis</v>
      </c>
      <c r="E16" s="43">
        <f>VLOOKUP(C16,Active!C$21:E$973,3,FALSE)</f>
        <v>5198.0265013887811</v>
      </c>
      <c r="F16" s="19" t="s">
        <v>65</v>
      </c>
      <c r="G16" s="12" t="str">
        <f t="shared" si="4"/>
        <v>48513.50</v>
      </c>
      <c r="H16" s="11">
        <f t="shared" si="5"/>
        <v>5198</v>
      </c>
      <c r="I16" s="44" t="s">
        <v>146</v>
      </c>
      <c r="J16" s="45" t="s">
        <v>147</v>
      </c>
      <c r="K16" s="44">
        <v>5198</v>
      </c>
      <c r="L16" s="44" t="s">
        <v>148</v>
      </c>
      <c r="M16" s="45" t="s">
        <v>89</v>
      </c>
      <c r="N16" s="45"/>
      <c r="O16" s="46" t="s">
        <v>149</v>
      </c>
      <c r="P16" s="47" t="s">
        <v>150</v>
      </c>
    </row>
    <row r="17" spans="1:16" ht="12.75" customHeight="1" thickBot="1" x14ac:dyDescent="0.25">
      <c r="A17" s="11" t="str">
        <f t="shared" si="0"/>
        <v>IBVS 5645 </v>
      </c>
      <c r="B17" s="19" t="str">
        <f t="shared" si="1"/>
        <v>II</v>
      </c>
      <c r="C17" s="11">
        <f t="shared" si="2"/>
        <v>52863.454400000002</v>
      </c>
      <c r="D17" s="12" t="str">
        <f t="shared" si="3"/>
        <v>vis</v>
      </c>
      <c r="E17" s="43">
        <f>VLOOKUP(C17,Active!C$21:E$973,3,FALSE)</f>
        <v>6227.5313304087204</v>
      </c>
      <c r="F17" s="19" t="s">
        <v>65</v>
      </c>
      <c r="G17" s="12" t="str">
        <f t="shared" si="4"/>
        <v>52863.4544</v>
      </c>
      <c r="H17" s="11">
        <f t="shared" si="5"/>
        <v>6227.5</v>
      </c>
      <c r="I17" s="44" t="s">
        <v>164</v>
      </c>
      <c r="J17" s="45" t="s">
        <v>165</v>
      </c>
      <c r="K17" s="44">
        <v>6227.5</v>
      </c>
      <c r="L17" s="44" t="s">
        <v>166</v>
      </c>
      <c r="M17" s="45" t="s">
        <v>167</v>
      </c>
      <c r="N17" s="45" t="s">
        <v>168</v>
      </c>
      <c r="O17" s="46" t="s">
        <v>169</v>
      </c>
      <c r="P17" s="47" t="s">
        <v>170</v>
      </c>
    </row>
    <row r="18" spans="1:16" ht="12.75" customHeight="1" thickBot="1" x14ac:dyDescent="0.25">
      <c r="A18" s="11" t="str">
        <f t="shared" si="0"/>
        <v>IBVS 5583 </v>
      </c>
      <c r="B18" s="19" t="str">
        <f t="shared" si="1"/>
        <v>II</v>
      </c>
      <c r="C18" s="11">
        <f t="shared" si="2"/>
        <v>53070.480300000003</v>
      </c>
      <c r="D18" s="12" t="str">
        <f t="shared" si="3"/>
        <v>vis</v>
      </c>
      <c r="E18" s="43">
        <f>VLOOKUP(C18,Active!C$21:E$973,3,FALSE)</f>
        <v>6276.5282035212758</v>
      </c>
      <c r="F18" s="19" t="s">
        <v>65</v>
      </c>
      <c r="G18" s="12" t="str">
        <f t="shared" si="4"/>
        <v>53070.4803</v>
      </c>
      <c r="H18" s="11">
        <f t="shared" si="5"/>
        <v>6276.5</v>
      </c>
      <c r="I18" s="44" t="s">
        <v>171</v>
      </c>
      <c r="J18" s="45" t="s">
        <v>172</v>
      </c>
      <c r="K18" s="44">
        <v>6276.5</v>
      </c>
      <c r="L18" s="44" t="s">
        <v>173</v>
      </c>
      <c r="M18" s="45" t="s">
        <v>167</v>
      </c>
      <c r="N18" s="45" t="s">
        <v>168</v>
      </c>
      <c r="O18" s="46" t="s">
        <v>174</v>
      </c>
      <c r="P18" s="47" t="s">
        <v>175</v>
      </c>
    </row>
    <row r="19" spans="1:16" ht="12.75" customHeight="1" thickBot="1" x14ac:dyDescent="0.25">
      <c r="A19" s="11" t="str">
        <f t="shared" si="0"/>
        <v>BAVM 234 </v>
      </c>
      <c r="B19" s="19" t="str">
        <f t="shared" si="1"/>
        <v>II</v>
      </c>
      <c r="C19" s="11">
        <f t="shared" si="2"/>
        <v>56539.515700000004</v>
      </c>
      <c r="D19" s="12" t="str">
        <f t="shared" si="3"/>
        <v>vis</v>
      </c>
      <c r="E19" s="43">
        <f>VLOOKUP(C19,Active!C$21:E$973,3,FALSE)</f>
        <v>7097.5457057601761</v>
      </c>
      <c r="F19" s="19" t="s">
        <v>65</v>
      </c>
      <c r="G19" s="12" t="str">
        <f t="shared" si="4"/>
        <v>56539.5157</v>
      </c>
      <c r="H19" s="11">
        <f t="shared" si="5"/>
        <v>7097.5</v>
      </c>
      <c r="I19" s="44" t="s">
        <v>195</v>
      </c>
      <c r="J19" s="45" t="s">
        <v>196</v>
      </c>
      <c r="K19" s="44" t="s">
        <v>197</v>
      </c>
      <c r="L19" s="44" t="s">
        <v>198</v>
      </c>
      <c r="M19" s="45" t="s">
        <v>179</v>
      </c>
      <c r="N19" s="45" t="s">
        <v>65</v>
      </c>
      <c r="O19" s="46" t="s">
        <v>199</v>
      </c>
      <c r="P19" s="47" t="s">
        <v>200</v>
      </c>
    </row>
    <row r="20" spans="1:16" ht="12.75" customHeight="1" thickBot="1" x14ac:dyDescent="0.25">
      <c r="A20" s="11" t="str">
        <f t="shared" si="0"/>
        <v>BAVM 238 </v>
      </c>
      <c r="B20" s="19" t="str">
        <f t="shared" si="1"/>
        <v>II</v>
      </c>
      <c r="C20" s="11">
        <f t="shared" si="2"/>
        <v>56877.528100000003</v>
      </c>
      <c r="D20" s="12" t="str">
        <f t="shared" si="3"/>
        <v>vis</v>
      </c>
      <c r="E20" s="43">
        <f>VLOOKUP(C20,Active!C$21:E$973,3,FALSE)</f>
        <v>7177.5431875886334</v>
      </c>
      <c r="F20" s="19" t="s">
        <v>65</v>
      </c>
      <c r="G20" s="12" t="str">
        <f t="shared" si="4"/>
        <v>56877.5281</v>
      </c>
      <c r="H20" s="11">
        <f t="shared" si="5"/>
        <v>7177.5</v>
      </c>
      <c r="I20" s="44" t="s">
        <v>201</v>
      </c>
      <c r="J20" s="45" t="s">
        <v>202</v>
      </c>
      <c r="K20" s="44" t="s">
        <v>203</v>
      </c>
      <c r="L20" s="44" t="s">
        <v>204</v>
      </c>
      <c r="M20" s="45" t="s">
        <v>179</v>
      </c>
      <c r="N20" s="45" t="s">
        <v>180</v>
      </c>
      <c r="O20" s="46" t="s">
        <v>193</v>
      </c>
      <c r="P20" s="47" t="s">
        <v>205</v>
      </c>
    </row>
    <row r="21" spans="1:16" ht="12.75" customHeight="1" thickBot="1" x14ac:dyDescent="0.25">
      <c r="A21" s="11" t="str">
        <f t="shared" si="0"/>
        <v> IODE 4.1.195 </v>
      </c>
      <c r="B21" s="19" t="str">
        <f t="shared" si="1"/>
        <v>I</v>
      </c>
      <c r="C21" s="11">
        <f t="shared" si="2"/>
        <v>14898.34</v>
      </c>
      <c r="D21" s="12" t="str">
        <f t="shared" si="3"/>
        <v>vis</v>
      </c>
      <c r="E21" s="43">
        <f>VLOOKUP(C21,Active!C$21:E$973,3,FALSE)</f>
        <v>-2757.6820798960925</v>
      </c>
      <c r="F21" s="19" t="s">
        <v>65</v>
      </c>
      <c r="G21" s="12" t="str">
        <f t="shared" si="4"/>
        <v>14898.34</v>
      </c>
      <c r="H21" s="11">
        <f t="shared" si="5"/>
        <v>-2758</v>
      </c>
      <c r="I21" s="44" t="s">
        <v>68</v>
      </c>
      <c r="J21" s="45" t="s">
        <v>69</v>
      </c>
      <c r="K21" s="44">
        <v>-2758</v>
      </c>
      <c r="L21" s="44" t="s">
        <v>70</v>
      </c>
      <c r="M21" s="45" t="s">
        <v>71</v>
      </c>
      <c r="N21" s="45"/>
      <c r="O21" s="46" t="s">
        <v>72</v>
      </c>
      <c r="P21" s="46" t="s">
        <v>73</v>
      </c>
    </row>
    <row r="22" spans="1:16" ht="12.75" customHeight="1" thickBot="1" x14ac:dyDescent="0.25">
      <c r="A22" s="11" t="str">
        <f t="shared" si="0"/>
        <v> IODE 4.1.195 </v>
      </c>
      <c r="B22" s="19" t="str">
        <f t="shared" si="1"/>
        <v>II</v>
      </c>
      <c r="C22" s="11">
        <f t="shared" si="2"/>
        <v>15254.45</v>
      </c>
      <c r="D22" s="12" t="str">
        <f t="shared" si="3"/>
        <v>vis</v>
      </c>
      <c r="E22" s="43">
        <f>VLOOKUP(C22,Active!C$21:E$973,3,FALSE)</f>
        <v>-2673.4014344110983</v>
      </c>
      <c r="F22" s="19" t="s">
        <v>65</v>
      </c>
      <c r="G22" s="12" t="str">
        <f t="shared" si="4"/>
        <v>15254.45</v>
      </c>
      <c r="H22" s="11">
        <f t="shared" si="5"/>
        <v>-2673.5</v>
      </c>
      <c r="I22" s="44" t="s">
        <v>74</v>
      </c>
      <c r="J22" s="45" t="s">
        <v>75</v>
      </c>
      <c r="K22" s="44">
        <v>-2673.5</v>
      </c>
      <c r="L22" s="44" t="s">
        <v>76</v>
      </c>
      <c r="M22" s="45" t="s">
        <v>71</v>
      </c>
      <c r="N22" s="45"/>
      <c r="O22" s="46" t="s">
        <v>72</v>
      </c>
      <c r="P22" s="46" t="s">
        <v>73</v>
      </c>
    </row>
    <row r="23" spans="1:16" ht="12.75" customHeight="1" thickBot="1" x14ac:dyDescent="0.25">
      <c r="A23" s="11" t="str">
        <f t="shared" si="0"/>
        <v> IODE 4.1.195 </v>
      </c>
      <c r="B23" s="19" t="str">
        <f t="shared" si="1"/>
        <v>I</v>
      </c>
      <c r="C23" s="11">
        <f t="shared" si="2"/>
        <v>15615.34</v>
      </c>
      <c r="D23" s="12" t="str">
        <f t="shared" si="3"/>
        <v>vis</v>
      </c>
      <c r="E23" s="43">
        <f>VLOOKUP(C23,Active!C$21:E$973,3,FALSE)</f>
        <v>-2587.9895050940909</v>
      </c>
      <c r="F23" s="19" t="s">
        <v>65</v>
      </c>
      <c r="G23" s="12" t="str">
        <f t="shared" si="4"/>
        <v>15615.34</v>
      </c>
      <c r="H23" s="11">
        <f t="shared" si="5"/>
        <v>-2588</v>
      </c>
      <c r="I23" s="44" t="s">
        <v>77</v>
      </c>
      <c r="J23" s="45" t="s">
        <v>78</v>
      </c>
      <c r="K23" s="44">
        <v>-2588</v>
      </c>
      <c r="L23" s="44" t="s">
        <v>79</v>
      </c>
      <c r="M23" s="45" t="s">
        <v>71</v>
      </c>
      <c r="N23" s="45"/>
      <c r="O23" s="46" t="s">
        <v>72</v>
      </c>
      <c r="P23" s="46" t="s">
        <v>73</v>
      </c>
    </row>
    <row r="24" spans="1:16" ht="12.75" customHeight="1" thickBot="1" x14ac:dyDescent="0.25">
      <c r="A24" s="11" t="str">
        <f t="shared" si="0"/>
        <v> IODE 4.1.195 </v>
      </c>
      <c r="B24" s="19" t="str">
        <f t="shared" si="1"/>
        <v>I</v>
      </c>
      <c r="C24" s="11">
        <f t="shared" si="2"/>
        <v>15615.43</v>
      </c>
      <c r="D24" s="12" t="str">
        <f t="shared" si="3"/>
        <v>vis</v>
      </c>
      <c r="E24" s="43">
        <f>VLOOKUP(C24,Active!C$21:E$973,3,FALSE)</f>
        <v>-2587.9682047708939</v>
      </c>
      <c r="F24" s="19" t="s">
        <v>65</v>
      </c>
      <c r="G24" s="12" t="str">
        <f t="shared" si="4"/>
        <v>15615.43</v>
      </c>
      <c r="H24" s="11">
        <f t="shared" si="5"/>
        <v>-2588</v>
      </c>
      <c r="I24" s="44" t="s">
        <v>80</v>
      </c>
      <c r="J24" s="45" t="s">
        <v>81</v>
      </c>
      <c r="K24" s="44">
        <v>-2588</v>
      </c>
      <c r="L24" s="44" t="s">
        <v>82</v>
      </c>
      <c r="M24" s="45" t="s">
        <v>71</v>
      </c>
      <c r="N24" s="45"/>
      <c r="O24" s="46" t="s">
        <v>72</v>
      </c>
      <c r="P24" s="46" t="s">
        <v>73</v>
      </c>
    </row>
    <row r="25" spans="1:16" ht="12.75" customHeight="1" thickBot="1" x14ac:dyDescent="0.25">
      <c r="A25" s="11" t="str">
        <f t="shared" si="0"/>
        <v> IODE 4.1.195 </v>
      </c>
      <c r="B25" s="19" t="str">
        <f t="shared" si="1"/>
        <v>I</v>
      </c>
      <c r="C25" s="11">
        <f t="shared" si="2"/>
        <v>17562.240000000002</v>
      </c>
      <c r="D25" s="12" t="str">
        <f t="shared" si="3"/>
        <v>vis</v>
      </c>
      <c r="E25" s="43">
        <f>VLOOKUP(C25,Active!C$21:E$973,3,FALSE)</f>
        <v>-2127.2161802935088</v>
      </c>
      <c r="F25" s="19" t="s">
        <v>65</v>
      </c>
      <c r="G25" s="12" t="str">
        <f t="shared" si="4"/>
        <v>17562.24</v>
      </c>
      <c r="H25" s="11">
        <f t="shared" si="5"/>
        <v>-2127</v>
      </c>
      <c r="I25" s="44" t="s">
        <v>83</v>
      </c>
      <c r="J25" s="45" t="s">
        <v>84</v>
      </c>
      <c r="K25" s="44">
        <v>-2127</v>
      </c>
      <c r="L25" s="44" t="s">
        <v>85</v>
      </c>
      <c r="M25" s="45" t="s">
        <v>71</v>
      </c>
      <c r="N25" s="45"/>
      <c r="O25" s="46" t="s">
        <v>72</v>
      </c>
      <c r="P25" s="46" t="s">
        <v>73</v>
      </c>
    </row>
    <row r="26" spans="1:16" ht="12.75" customHeight="1" thickBot="1" x14ac:dyDescent="0.25">
      <c r="A26" s="11" t="str">
        <f t="shared" si="0"/>
        <v> IODE 4.1.195 </v>
      </c>
      <c r="B26" s="19" t="str">
        <f t="shared" si="1"/>
        <v>I</v>
      </c>
      <c r="C26" s="11">
        <f t="shared" si="2"/>
        <v>26550.294000000002</v>
      </c>
      <c r="D26" s="12" t="str">
        <f t="shared" si="3"/>
        <v>vis</v>
      </c>
      <c r="E26" s="43">
        <f>VLOOKUP(C26,Active!C$21:E$973,3,FALSE)</f>
        <v>-1.1123502113621894E-2</v>
      </c>
      <c r="F26" s="19" t="s">
        <v>65</v>
      </c>
      <c r="G26" s="12" t="str">
        <f t="shared" si="4"/>
        <v>26550.294</v>
      </c>
      <c r="H26" s="11">
        <f t="shared" si="5"/>
        <v>0</v>
      </c>
      <c r="I26" s="44" t="s">
        <v>86</v>
      </c>
      <c r="J26" s="45" t="s">
        <v>87</v>
      </c>
      <c r="K26" s="44">
        <v>0</v>
      </c>
      <c r="L26" s="44" t="s">
        <v>88</v>
      </c>
      <c r="M26" s="45" t="s">
        <v>89</v>
      </c>
      <c r="N26" s="45"/>
      <c r="O26" s="46" t="s">
        <v>72</v>
      </c>
      <c r="P26" s="46" t="s">
        <v>73</v>
      </c>
    </row>
    <row r="27" spans="1:16" ht="12.75" customHeight="1" thickBot="1" x14ac:dyDescent="0.25">
      <c r="A27" s="11" t="str">
        <f t="shared" si="0"/>
        <v> IODE 4.1.195 </v>
      </c>
      <c r="B27" s="19" t="str">
        <f t="shared" si="1"/>
        <v>II</v>
      </c>
      <c r="C27" s="11">
        <f t="shared" si="2"/>
        <v>26552.508000000002</v>
      </c>
      <c r="D27" s="12" t="str">
        <f t="shared" si="3"/>
        <v>vis</v>
      </c>
      <c r="E27" s="43">
        <f>VLOOKUP(C27,Active!C$21:E$973,3,FALSE)</f>
        <v>0.51286444853020208</v>
      </c>
      <c r="F27" s="19" t="s">
        <v>65</v>
      </c>
      <c r="G27" s="12" t="str">
        <f t="shared" si="4"/>
        <v>26552.508</v>
      </c>
      <c r="H27" s="11">
        <f t="shared" si="5"/>
        <v>0.5</v>
      </c>
      <c r="I27" s="44" t="s">
        <v>90</v>
      </c>
      <c r="J27" s="45" t="s">
        <v>91</v>
      </c>
      <c r="K27" s="44">
        <v>0.5</v>
      </c>
      <c r="L27" s="44" t="s">
        <v>92</v>
      </c>
      <c r="M27" s="45" t="s">
        <v>89</v>
      </c>
      <c r="N27" s="45"/>
      <c r="O27" s="46" t="s">
        <v>72</v>
      </c>
      <c r="P27" s="46" t="s">
        <v>73</v>
      </c>
    </row>
    <row r="28" spans="1:16" ht="12.75" customHeight="1" thickBot="1" x14ac:dyDescent="0.25">
      <c r="A28" s="11" t="str">
        <f t="shared" si="0"/>
        <v> PTAO 34.202 </v>
      </c>
      <c r="B28" s="19" t="str">
        <f t="shared" si="1"/>
        <v>II</v>
      </c>
      <c r="C28" s="11">
        <f t="shared" si="2"/>
        <v>30874.5</v>
      </c>
      <c r="D28" s="12" t="str">
        <f t="shared" si="3"/>
        <v>vis</v>
      </c>
      <c r="E28" s="43">
        <f>VLOOKUP(C28,Active!C$21:E$973,3,FALSE)</f>
        <v>1023.3998250533454</v>
      </c>
      <c r="F28" s="19" t="s">
        <v>65</v>
      </c>
      <c r="G28" s="12" t="str">
        <f t="shared" si="4"/>
        <v>30874.500</v>
      </c>
      <c r="H28" s="11">
        <f t="shared" si="5"/>
        <v>1023.5</v>
      </c>
      <c r="I28" s="44" t="s">
        <v>93</v>
      </c>
      <c r="J28" s="45" t="s">
        <v>94</v>
      </c>
      <c r="K28" s="44">
        <v>1023.5</v>
      </c>
      <c r="L28" s="44" t="s">
        <v>95</v>
      </c>
      <c r="M28" s="45" t="s">
        <v>67</v>
      </c>
      <c r="N28" s="45"/>
      <c r="O28" s="46" t="s">
        <v>96</v>
      </c>
      <c r="P28" s="46" t="s">
        <v>97</v>
      </c>
    </row>
    <row r="29" spans="1:16" ht="12.75" customHeight="1" thickBot="1" x14ac:dyDescent="0.25">
      <c r="A29" s="11" t="str">
        <f t="shared" si="0"/>
        <v> PTAO 34.202 </v>
      </c>
      <c r="B29" s="19" t="str">
        <f t="shared" si="1"/>
        <v>I</v>
      </c>
      <c r="C29" s="11">
        <f t="shared" si="2"/>
        <v>33661.508000000002</v>
      </c>
      <c r="D29" s="12" t="str">
        <f t="shared" si="3"/>
        <v>vis</v>
      </c>
      <c r="E29" s="43">
        <f>VLOOKUP(C29,Active!C$21:E$973,3,FALSE)</f>
        <v>1683.0017267462008</v>
      </c>
      <c r="F29" s="19" t="s">
        <v>65</v>
      </c>
      <c r="G29" s="12" t="str">
        <f t="shared" si="4"/>
        <v>33661.508</v>
      </c>
      <c r="H29" s="11">
        <f t="shared" si="5"/>
        <v>1683</v>
      </c>
      <c r="I29" s="44" t="s">
        <v>98</v>
      </c>
      <c r="J29" s="45" t="s">
        <v>99</v>
      </c>
      <c r="K29" s="44">
        <v>1683</v>
      </c>
      <c r="L29" s="44" t="s">
        <v>100</v>
      </c>
      <c r="M29" s="45" t="s">
        <v>67</v>
      </c>
      <c r="N29" s="45"/>
      <c r="O29" s="46" t="s">
        <v>101</v>
      </c>
      <c r="P29" s="46" t="s">
        <v>97</v>
      </c>
    </row>
    <row r="30" spans="1:16" ht="12.75" customHeight="1" thickBot="1" x14ac:dyDescent="0.25">
      <c r="A30" s="11" t="str">
        <f t="shared" si="0"/>
        <v> PTAO 34.202 </v>
      </c>
      <c r="B30" s="19" t="str">
        <f t="shared" si="1"/>
        <v>II</v>
      </c>
      <c r="C30" s="11">
        <f t="shared" si="2"/>
        <v>33967.822</v>
      </c>
      <c r="D30" s="12" t="str">
        <f t="shared" si="3"/>
        <v>vis</v>
      </c>
      <c r="E30" s="43">
        <f>VLOOKUP(C30,Active!C$21:E$973,3,FALSE)</f>
        <v>1755.4971400766053</v>
      </c>
      <c r="F30" s="19" t="s">
        <v>65</v>
      </c>
      <c r="G30" s="12" t="str">
        <f t="shared" si="4"/>
        <v>33967.822</v>
      </c>
      <c r="H30" s="11">
        <f t="shared" si="5"/>
        <v>1755.5</v>
      </c>
      <c r="I30" s="44" t="s">
        <v>102</v>
      </c>
      <c r="J30" s="45" t="s">
        <v>103</v>
      </c>
      <c r="K30" s="44">
        <v>1755.5</v>
      </c>
      <c r="L30" s="44" t="s">
        <v>104</v>
      </c>
      <c r="M30" s="45" t="s">
        <v>67</v>
      </c>
      <c r="N30" s="45"/>
      <c r="O30" s="46" t="s">
        <v>101</v>
      </c>
      <c r="P30" s="46" t="s">
        <v>97</v>
      </c>
    </row>
    <row r="31" spans="1:16" ht="12.75" customHeight="1" thickBot="1" x14ac:dyDescent="0.25">
      <c r="A31" s="11" t="str">
        <f t="shared" si="0"/>
        <v> PTAO 34.202 </v>
      </c>
      <c r="B31" s="19" t="str">
        <f t="shared" si="1"/>
        <v>I</v>
      </c>
      <c r="C31" s="11">
        <f t="shared" si="2"/>
        <v>33995.315000000002</v>
      </c>
      <c r="D31" s="12" t="str">
        <f t="shared" si="3"/>
        <v>vis</v>
      </c>
      <c r="E31" s="43">
        <f>VLOOKUP(C31,Active!C$21:E$973,3,FALSE)</f>
        <v>1762.0039154727447</v>
      </c>
      <c r="F31" s="19" t="s">
        <v>65</v>
      </c>
      <c r="G31" s="12" t="str">
        <f t="shared" si="4"/>
        <v>33995.315</v>
      </c>
      <c r="H31" s="11">
        <f t="shared" si="5"/>
        <v>1762</v>
      </c>
      <c r="I31" s="44" t="s">
        <v>105</v>
      </c>
      <c r="J31" s="45" t="s">
        <v>106</v>
      </c>
      <c r="K31" s="44">
        <v>1762</v>
      </c>
      <c r="L31" s="44" t="s">
        <v>107</v>
      </c>
      <c r="M31" s="45" t="s">
        <v>67</v>
      </c>
      <c r="N31" s="45"/>
      <c r="O31" s="46" t="s">
        <v>101</v>
      </c>
      <c r="P31" s="46" t="s">
        <v>97</v>
      </c>
    </row>
    <row r="32" spans="1:16" ht="12.75" customHeight="1" thickBot="1" x14ac:dyDescent="0.25">
      <c r="A32" s="11" t="str">
        <f t="shared" si="0"/>
        <v> PTAO 34.202 </v>
      </c>
      <c r="B32" s="19" t="str">
        <f t="shared" si="1"/>
        <v>I</v>
      </c>
      <c r="C32" s="11">
        <f t="shared" si="2"/>
        <v>34430.489000000001</v>
      </c>
      <c r="D32" s="12" t="str">
        <f t="shared" si="3"/>
        <v>vis</v>
      </c>
      <c r="E32" s="43">
        <f>VLOOKUP(C32,Active!C$21:E$973,3,FALSE)</f>
        <v>1864.9966582159609</v>
      </c>
      <c r="F32" s="19" t="s">
        <v>65</v>
      </c>
      <c r="G32" s="12" t="str">
        <f t="shared" si="4"/>
        <v>34430.489</v>
      </c>
      <c r="H32" s="11">
        <f t="shared" si="5"/>
        <v>1865</v>
      </c>
      <c r="I32" s="44" t="s">
        <v>108</v>
      </c>
      <c r="J32" s="45" t="s">
        <v>109</v>
      </c>
      <c r="K32" s="44">
        <v>1865</v>
      </c>
      <c r="L32" s="44" t="s">
        <v>110</v>
      </c>
      <c r="M32" s="45" t="s">
        <v>67</v>
      </c>
      <c r="N32" s="45"/>
      <c r="O32" s="46" t="s">
        <v>101</v>
      </c>
      <c r="P32" s="46" t="s">
        <v>97</v>
      </c>
    </row>
    <row r="33" spans="1:16" ht="12.75" customHeight="1" thickBot="1" x14ac:dyDescent="0.25">
      <c r="A33" s="11" t="str">
        <f t="shared" si="0"/>
        <v> PTAO 34.202 </v>
      </c>
      <c r="B33" s="19" t="str">
        <f t="shared" si="1"/>
        <v>II</v>
      </c>
      <c r="C33" s="11">
        <f t="shared" si="2"/>
        <v>34432.618000000002</v>
      </c>
      <c r="D33" s="12" t="str">
        <f t="shared" si="3"/>
        <v>vis</v>
      </c>
      <c r="E33" s="43">
        <f>VLOOKUP(C33,Active!C$21:E$973,3,FALSE)</f>
        <v>1865.5005291946968</v>
      </c>
      <c r="F33" s="19" t="s">
        <v>65</v>
      </c>
      <c r="G33" s="12" t="str">
        <f t="shared" si="4"/>
        <v>34432.618</v>
      </c>
      <c r="H33" s="11">
        <f t="shared" si="5"/>
        <v>1865.5</v>
      </c>
      <c r="I33" s="44" t="s">
        <v>111</v>
      </c>
      <c r="J33" s="45" t="s">
        <v>112</v>
      </c>
      <c r="K33" s="44">
        <v>1865.5</v>
      </c>
      <c r="L33" s="44" t="s">
        <v>113</v>
      </c>
      <c r="M33" s="45" t="s">
        <v>67</v>
      </c>
      <c r="N33" s="45"/>
      <c r="O33" s="46" t="s">
        <v>101</v>
      </c>
      <c r="P33" s="46" t="s">
        <v>97</v>
      </c>
    </row>
    <row r="34" spans="1:16" ht="12.75" customHeight="1" thickBot="1" x14ac:dyDescent="0.25">
      <c r="A34" s="11" t="str">
        <f t="shared" si="0"/>
        <v> PTAO 34.202 </v>
      </c>
      <c r="B34" s="19" t="str">
        <f t="shared" si="1"/>
        <v>I</v>
      </c>
      <c r="C34" s="11">
        <f t="shared" si="2"/>
        <v>34760.057999999997</v>
      </c>
      <c r="D34" s="12" t="str">
        <f t="shared" si="3"/>
        <v>vis</v>
      </c>
      <c r="E34" s="43">
        <f>VLOOKUP(C34,Active!C$21:E$973,3,FALSE)</f>
        <v>1942.9958383901871</v>
      </c>
      <c r="F34" s="19" t="s">
        <v>65</v>
      </c>
      <c r="G34" s="12" t="str">
        <f t="shared" si="4"/>
        <v>34760.058</v>
      </c>
      <c r="H34" s="11">
        <f t="shared" si="5"/>
        <v>1943</v>
      </c>
      <c r="I34" s="44" t="s">
        <v>114</v>
      </c>
      <c r="J34" s="45" t="s">
        <v>115</v>
      </c>
      <c r="K34" s="44">
        <v>1943</v>
      </c>
      <c r="L34" s="44" t="s">
        <v>116</v>
      </c>
      <c r="M34" s="45" t="s">
        <v>67</v>
      </c>
      <c r="N34" s="45"/>
      <c r="O34" s="46" t="s">
        <v>101</v>
      </c>
      <c r="P34" s="46" t="s">
        <v>97</v>
      </c>
    </row>
    <row r="35" spans="1:16" ht="12.75" customHeight="1" thickBot="1" x14ac:dyDescent="0.25">
      <c r="A35" s="11" t="str">
        <f t="shared" si="0"/>
        <v> PTAO 34.202 </v>
      </c>
      <c r="B35" s="19" t="str">
        <f t="shared" si="1"/>
        <v>II</v>
      </c>
      <c r="C35" s="11">
        <f t="shared" si="2"/>
        <v>35053.747000000003</v>
      </c>
      <c r="D35" s="12" t="str">
        <f t="shared" si="3"/>
        <v>vis</v>
      </c>
      <c r="E35" s="43">
        <f>VLOOKUP(C35,Active!C$21:E$973,3,FALSE)</f>
        <v>2012.5032897165834</v>
      </c>
      <c r="F35" s="19" t="s">
        <v>65</v>
      </c>
      <c r="G35" s="12" t="str">
        <f t="shared" si="4"/>
        <v>35053.747</v>
      </c>
      <c r="H35" s="11">
        <f t="shared" si="5"/>
        <v>2012.5</v>
      </c>
      <c r="I35" s="44" t="s">
        <v>117</v>
      </c>
      <c r="J35" s="45" t="s">
        <v>118</v>
      </c>
      <c r="K35" s="44">
        <v>2012.5</v>
      </c>
      <c r="L35" s="44" t="s">
        <v>119</v>
      </c>
      <c r="M35" s="45" t="s">
        <v>67</v>
      </c>
      <c r="N35" s="45"/>
      <c r="O35" s="46" t="s">
        <v>101</v>
      </c>
      <c r="P35" s="46" t="s">
        <v>97</v>
      </c>
    </row>
    <row r="36" spans="1:16" ht="12.75" customHeight="1" thickBot="1" x14ac:dyDescent="0.25">
      <c r="A36" s="11" t="str">
        <f t="shared" si="0"/>
        <v> PTAO 34.202 </v>
      </c>
      <c r="B36" s="19" t="str">
        <f t="shared" si="1"/>
        <v>I</v>
      </c>
      <c r="C36" s="11">
        <f t="shared" si="2"/>
        <v>35440.345999999998</v>
      </c>
      <c r="D36" s="12" t="str">
        <f t="shared" si="3"/>
        <v>vis</v>
      </c>
      <c r="E36" s="43">
        <f>VLOOKUP(C36,Active!C$21:E$973,3,FALSE)</f>
        <v>2103.9997746899139</v>
      </c>
      <c r="F36" s="19" t="s">
        <v>65</v>
      </c>
      <c r="G36" s="12" t="str">
        <f t="shared" si="4"/>
        <v>35440.346</v>
      </c>
      <c r="H36" s="11">
        <f t="shared" si="5"/>
        <v>2104</v>
      </c>
      <c r="I36" s="44" t="s">
        <v>120</v>
      </c>
      <c r="J36" s="45" t="s">
        <v>121</v>
      </c>
      <c r="K36" s="44">
        <v>2104</v>
      </c>
      <c r="L36" s="44" t="s">
        <v>122</v>
      </c>
      <c r="M36" s="45" t="s">
        <v>67</v>
      </c>
      <c r="N36" s="45"/>
      <c r="O36" s="46" t="s">
        <v>101</v>
      </c>
      <c r="P36" s="46" t="s">
        <v>97</v>
      </c>
    </row>
    <row r="37" spans="1:16" ht="12.75" customHeight="1" thickBot="1" x14ac:dyDescent="0.25">
      <c r="A37" s="11" t="str">
        <f t="shared" si="0"/>
        <v>BAVM 143 </v>
      </c>
      <c r="B37" s="19" t="str">
        <f t="shared" si="1"/>
        <v>I</v>
      </c>
      <c r="C37" s="11">
        <f t="shared" si="2"/>
        <v>51779.406000000003</v>
      </c>
      <c r="D37" s="12" t="str">
        <f t="shared" si="3"/>
        <v>vis</v>
      </c>
      <c r="E37" s="43">
        <f>VLOOKUP(C37,Active!C$21:E$973,3,FALSE)</f>
        <v>5970.9693161744244</v>
      </c>
      <c r="F37" s="19" t="s">
        <v>65</v>
      </c>
      <c r="G37" s="12" t="str">
        <f t="shared" si="4"/>
        <v>51779.406</v>
      </c>
      <c r="H37" s="11">
        <f t="shared" si="5"/>
        <v>5971</v>
      </c>
      <c r="I37" s="44" t="s">
        <v>151</v>
      </c>
      <c r="J37" s="45" t="s">
        <v>152</v>
      </c>
      <c r="K37" s="44">
        <v>5971</v>
      </c>
      <c r="L37" s="44" t="s">
        <v>153</v>
      </c>
      <c r="M37" s="45" t="s">
        <v>89</v>
      </c>
      <c r="N37" s="45"/>
      <c r="O37" s="46" t="s">
        <v>154</v>
      </c>
      <c r="P37" s="47" t="s">
        <v>155</v>
      </c>
    </row>
    <row r="38" spans="1:16" ht="12.75" customHeight="1" thickBot="1" x14ac:dyDescent="0.25">
      <c r="A38" s="11" t="str">
        <f t="shared" si="0"/>
        <v>BAVM 154 </v>
      </c>
      <c r="B38" s="19" t="str">
        <f t="shared" si="1"/>
        <v>I</v>
      </c>
      <c r="C38" s="11">
        <f t="shared" si="2"/>
        <v>52193.51</v>
      </c>
      <c r="D38" s="12" t="str">
        <f t="shared" si="3"/>
        <v>vis</v>
      </c>
      <c r="E38" s="43">
        <f>VLOOKUP(C38,Active!C$21:E$973,3,FALSE)</f>
        <v>6068.9754165869881</v>
      </c>
      <c r="F38" s="19" t="s">
        <v>65</v>
      </c>
      <c r="G38" s="12" t="str">
        <f t="shared" si="4"/>
        <v>52193.510</v>
      </c>
      <c r="H38" s="11">
        <f t="shared" si="5"/>
        <v>6069</v>
      </c>
      <c r="I38" s="44" t="s">
        <v>156</v>
      </c>
      <c r="J38" s="45" t="s">
        <v>157</v>
      </c>
      <c r="K38" s="44">
        <v>6069</v>
      </c>
      <c r="L38" s="44" t="s">
        <v>158</v>
      </c>
      <c r="M38" s="45" t="s">
        <v>89</v>
      </c>
      <c r="N38" s="45"/>
      <c r="O38" s="46" t="s">
        <v>154</v>
      </c>
      <c r="P38" s="47" t="s">
        <v>159</v>
      </c>
    </row>
    <row r="39" spans="1:16" ht="12.75" customHeight="1" thickBot="1" x14ac:dyDescent="0.25">
      <c r="A39" s="11" t="str">
        <f t="shared" si="0"/>
        <v>BAVM 157 </v>
      </c>
      <c r="B39" s="19" t="str">
        <f t="shared" si="1"/>
        <v>I</v>
      </c>
      <c r="C39" s="11">
        <f t="shared" si="2"/>
        <v>52548.404999999999</v>
      </c>
      <c r="D39" s="12" t="str">
        <f t="shared" si="3"/>
        <v>vis</v>
      </c>
      <c r="E39" s="43">
        <f>VLOOKUP(C39,Active!C$21:E$973,3,FALSE)</f>
        <v>6152.9685077088234</v>
      </c>
      <c r="F39" s="19" t="s">
        <v>65</v>
      </c>
      <c r="G39" s="12" t="str">
        <f t="shared" si="4"/>
        <v>52548.405</v>
      </c>
      <c r="H39" s="11">
        <f t="shared" si="5"/>
        <v>6153</v>
      </c>
      <c r="I39" s="44" t="s">
        <v>160</v>
      </c>
      <c r="J39" s="45" t="s">
        <v>161</v>
      </c>
      <c r="K39" s="44">
        <v>6153</v>
      </c>
      <c r="L39" s="44" t="s">
        <v>162</v>
      </c>
      <c r="M39" s="45" t="s">
        <v>89</v>
      </c>
      <c r="N39" s="45"/>
      <c r="O39" s="46" t="s">
        <v>154</v>
      </c>
      <c r="P39" s="47" t="s">
        <v>163</v>
      </c>
    </row>
    <row r="40" spans="1:16" ht="12.75" customHeight="1" thickBot="1" x14ac:dyDescent="0.25">
      <c r="A40" s="11" t="str">
        <f t="shared" si="0"/>
        <v>BAVM 193 </v>
      </c>
      <c r="B40" s="19" t="str">
        <f t="shared" si="1"/>
        <v>I</v>
      </c>
      <c r="C40" s="11">
        <f t="shared" si="2"/>
        <v>54382.479700000004</v>
      </c>
      <c r="D40" s="12" t="str">
        <f t="shared" si="3"/>
        <v>vis</v>
      </c>
      <c r="E40" s="43">
        <f>VLOOKUP(C40,Active!C$21:E$973,3,FALSE)</f>
        <v>6587.0394396784322</v>
      </c>
      <c r="F40" s="19" t="s">
        <v>65</v>
      </c>
      <c r="G40" s="12" t="str">
        <f t="shared" si="4"/>
        <v>54382.4797</v>
      </c>
      <c r="H40" s="11">
        <f t="shared" si="5"/>
        <v>6587</v>
      </c>
      <c r="I40" s="44" t="s">
        <v>176</v>
      </c>
      <c r="J40" s="45" t="s">
        <v>177</v>
      </c>
      <c r="K40" s="44">
        <v>6587</v>
      </c>
      <c r="L40" s="44" t="s">
        <v>178</v>
      </c>
      <c r="M40" s="45" t="s">
        <v>179</v>
      </c>
      <c r="N40" s="45" t="s">
        <v>180</v>
      </c>
      <c r="O40" s="46" t="s">
        <v>144</v>
      </c>
      <c r="P40" s="47" t="s">
        <v>181</v>
      </c>
    </row>
    <row r="41" spans="1:16" ht="12.75" customHeight="1" thickBot="1" x14ac:dyDescent="0.25">
      <c r="A41" s="11" t="str">
        <f t="shared" si="0"/>
        <v>OEJV 0116 </v>
      </c>
      <c r="B41" s="19" t="str">
        <f t="shared" si="1"/>
        <v>I</v>
      </c>
      <c r="C41" s="11">
        <f t="shared" si="2"/>
        <v>54830.345999999998</v>
      </c>
      <c r="D41" s="12" t="str">
        <f t="shared" si="3"/>
        <v>vis</v>
      </c>
      <c r="E41" s="43">
        <f>VLOOKUP(C41,Active!C$21:E$973,3,FALSE)</f>
        <v>6693.0360723340036</v>
      </c>
      <c r="F41" s="19" t="s">
        <v>65</v>
      </c>
      <c r="G41" s="12" t="str">
        <f t="shared" si="4"/>
        <v>54830.346</v>
      </c>
      <c r="H41" s="11">
        <f t="shared" si="5"/>
        <v>6693</v>
      </c>
      <c r="I41" s="44" t="s">
        <v>182</v>
      </c>
      <c r="J41" s="45" t="s">
        <v>183</v>
      </c>
      <c r="K41" s="44" t="s">
        <v>184</v>
      </c>
      <c r="L41" s="44" t="s">
        <v>185</v>
      </c>
      <c r="M41" s="45" t="s">
        <v>179</v>
      </c>
      <c r="N41" s="45" t="s">
        <v>186</v>
      </c>
      <c r="O41" s="46" t="s">
        <v>187</v>
      </c>
      <c r="P41" s="47" t="s">
        <v>188</v>
      </c>
    </row>
    <row r="42" spans="1:16" ht="12.75" customHeight="1" thickBot="1" x14ac:dyDescent="0.25">
      <c r="A42" s="11" t="str">
        <f t="shared" si="0"/>
        <v>BAVM 212 </v>
      </c>
      <c r="B42" s="19" t="str">
        <f t="shared" si="1"/>
        <v>I</v>
      </c>
      <c r="C42" s="11">
        <f t="shared" si="2"/>
        <v>55058.525999999998</v>
      </c>
      <c r="D42" s="12" t="str">
        <f t="shared" si="3"/>
        <v>vis</v>
      </c>
      <c r="E42" s="43">
        <f>VLOOKUP(C42,Active!C$21:E$973,3,FALSE)</f>
        <v>6747.039491745888</v>
      </c>
      <c r="F42" s="19" t="s">
        <v>65</v>
      </c>
      <c r="G42" s="12" t="str">
        <f t="shared" si="4"/>
        <v>55058.5260</v>
      </c>
      <c r="H42" s="11">
        <f t="shared" si="5"/>
        <v>6747</v>
      </c>
      <c r="I42" s="44" t="s">
        <v>189</v>
      </c>
      <c r="J42" s="45" t="s">
        <v>190</v>
      </c>
      <c r="K42" s="44" t="s">
        <v>191</v>
      </c>
      <c r="L42" s="44" t="s">
        <v>192</v>
      </c>
      <c r="M42" s="45" t="s">
        <v>179</v>
      </c>
      <c r="N42" s="45" t="s">
        <v>180</v>
      </c>
      <c r="O42" s="46" t="s">
        <v>193</v>
      </c>
      <c r="P42" s="47" t="s">
        <v>194</v>
      </c>
    </row>
    <row r="43" spans="1:16" x14ac:dyDescent="0.2">
      <c r="B43" s="19"/>
      <c r="F43" s="19"/>
    </row>
    <row r="44" spans="1:16" x14ac:dyDescent="0.2">
      <c r="B44" s="19"/>
      <c r="F44" s="19"/>
    </row>
    <row r="45" spans="1:16" x14ac:dyDescent="0.2">
      <c r="B45" s="19"/>
      <c r="F45" s="19"/>
    </row>
    <row r="46" spans="1:16" x14ac:dyDescent="0.2">
      <c r="B46" s="19"/>
      <c r="F46" s="19"/>
    </row>
    <row r="47" spans="1:16" x14ac:dyDescent="0.2">
      <c r="B47" s="19"/>
      <c r="F47" s="19"/>
    </row>
    <row r="48" spans="1:1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</sheetData>
  <phoneticPr fontId="8" type="noConversion"/>
  <hyperlinks>
    <hyperlink ref="P12" r:id="rId1" display="http://www.bav-astro.de/sfs/BAVM_link.php?BAVMnr=31" xr:uid="{00000000-0004-0000-0100-000000000000}"/>
    <hyperlink ref="P15" r:id="rId2" display="http://www.bav-astro.de/sfs/BAVM_link.php?BAVMnr=202" xr:uid="{00000000-0004-0000-0100-000001000000}"/>
    <hyperlink ref="P16" r:id="rId3" display="http://www.bav-astro.de/sfs/BAVM_link.php?BAVMnr=68" xr:uid="{00000000-0004-0000-0100-000002000000}"/>
    <hyperlink ref="P37" r:id="rId4" display="http://www.bav-astro.de/sfs/BAVM_link.php?BAVMnr=143" xr:uid="{00000000-0004-0000-0100-000003000000}"/>
    <hyperlink ref="P38" r:id="rId5" display="http://www.bav-astro.de/sfs/BAVM_link.php?BAVMnr=154" xr:uid="{00000000-0004-0000-0100-000004000000}"/>
    <hyperlink ref="P39" r:id="rId6" display="http://www.bav-astro.de/sfs/BAVM_link.php?BAVMnr=157" xr:uid="{00000000-0004-0000-0100-000005000000}"/>
    <hyperlink ref="P17" r:id="rId7" display="http://www.konkoly.hu/cgi-bin/IBVS?5645" xr:uid="{00000000-0004-0000-0100-000006000000}"/>
    <hyperlink ref="P18" r:id="rId8" display="http://www.konkoly.hu/cgi-bin/IBVS?5583" xr:uid="{00000000-0004-0000-0100-000007000000}"/>
    <hyperlink ref="P40" r:id="rId9" display="http://www.bav-astro.de/sfs/BAVM_link.php?BAVMnr=193" xr:uid="{00000000-0004-0000-0100-000008000000}"/>
    <hyperlink ref="P41" r:id="rId10" display="http://var.astro.cz/oejv/issues/oejv0116.pdf" xr:uid="{00000000-0004-0000-0100-000009000000}"/>
    <hyperlink ref="P42" r:id="rId11" display="http://www.bav-astro.de/sfs/BAVM_link.php?BAVMnr=212" xr:uid="{00000000-0004-0000-0100-00000A000000}"/>
    <hyperlink ref="P19" r:id="rId12" display="http://www.bav-astro.de/sfs/BAVM_link.php?BAVMnr=234" xr:uid="{00000000-0004-0000-0100-00000B000000}"/>
    <hyperlink ref="P20" r:id="rId13" display="http://www.bav-astro.de/sfs/BAVM_link.php?BAVMnr=238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2024-01-23T02:28:06Z</dcterms:modified>
</cp:coreProperties>
</file>